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5480" windowHeight="10740" activeTab="1"/>
  </bookViews>
  <sheets>
    <sheet name="Planering" sheetId="1" r:id="rId1"/>
    <sheet name="Driftplan, manuell eller auto" sheetId="2" r:id="rId2"/>
    <sheet name="Frekvenser" sheetId="3" r:id="rId3"/>
    <sheet name="Gradskiva" sheetId="4" r:id="rId4"/>
    <sheet name="Readme" sheetId="5" r:id="rId5"/>
    <sheet name="Hjälp" sheetId="6" r:id="rId6"/>
    <sheet name="Grunddata flpl" sheetId="7" r:id="rId7"/>
    <sheet name="Utgåva" sheetId="8" r:id="rId8"/>
  </sheets>
  <definedNames>
    <definedName name="_xlnm.Print_Area" localSheetId="1">'Driftplan, manuell eller auto'!$A$1:$L$50</definedName>
    <definedName name="_xlnm.Print_Area" localSheetId="3">'Gradskiva'!$A$1:$B$30</definedName>
    <definedName name="_xlnm.Print_Area" localSheetId="0">'Planering'!$A$1:$J$53</definedName>
  </definedNames>
  <calcPr fullCalcOnLoad="1"/>
</workbook>
</file>

<file path=xl/sharedStrings.xml><?xml version="1.0" encoding="utf-8"?>
<sst xmlns="http://schemas.openxmlformats.org/spreadsheetml/2006/main" count="355" uniqueCount="316">
  <si>
    <t>Frekvenser</t>
  </si>
  <si>
    <t>Nr</t>
  </si>
  <si>
    <t>Anteckningar</t>
  </si>
  <si>
    <t>min</t>
  </si>
  <si>
    <t>km</t>
  </si>
  <si>
    <t>MHz</t>
  </si>
  <si>
    <t>Terminologi lathund</t>
  </si>
  <si>
    <t>tim</t>
  </si>
  <si>
    <t>km/h</t>
  </si>
  <si>
    <t>Tid
min</t>
  </si>
  <si>
    <t>Fyll i beräknad Landnings tid på nr 8, kan ju vara olika beroende på flygplats</t>
  </si>
  <si>
    <t>All data är ungefärlig och tänk på att flygplanets böcker och vägningsprotokoll</t>
  </si>
  <si>
    <t>Tänk på att här har du normalt full gas, så räkna lite mer tid</t>
  </si>
  <si>
    <t>Tänk på att här har du normalt tomgång, så räkna lite mindre tid</t>
  </si>
  <si>
    <t>Ändrar du så kommer flygtiden också att ändras</t>
  </si>
  <si>
    <t>SE-UCS</t>
  </si>
  <si>
    <t>Ligger du under 750kg, kommer du att få grönt. Över 750kg medför övervikt och rött</t>
  </si>
  <si>
    <t>Spara detta med ett smart namn och skriv ut och ha med detta som stöd under resan…….</t>
  </si>
  <si>
    <t>Gör inte avkall på bränslet så du inte kommer fram dit du tänkt dig bara.</t>
  </si>
  <si>
    <t>Fortsätt på sträcka nr 2-7 efter din färdplan och behov</t>
  </si>
  <si>
    <t>Gradskiva</t>
  </si>
  <si>
    <t>L-E Hansson</t>
  </si>
  <si>
    <t>Printas med fördel ut på en overheadfilm</t>
  </si>
  <si>
    <t>för att sen lägga på kartan och bestämma din kurs</t>
  </si>
  <si>
    <t>Fliken med Gradskivan kan du med fördel skriva ut på en overheadfilm om du inte har en</t>
  </si>
  <si>
    <t>transportör. Lägg densamma på din karta och du får din kurs</t>
  </si>
  <si>
    <t>Flyg lugnt och försiktigt och ha det roligt, men tänk på säkerheten</t>
  </si>
  <si>
    <t>Driftfärdplan Samburo AVo 68-R100</t>
  </si>
  <si>
    <t>Färdriktning</t>
  </si>
  <si>
    <t>Läs av Kursvinkel</t>
  </si>
  <si>
    <t>enl. exemplet 315 grader</t>
  </si>
  <si>
    <r>
      <t xml:space="preserve">Linje för longitud </t>
    </r>
    <r>
      <rPr>
        <sz val="10"/>
        <color indexed="17"/>
        <rFont val="Arial"/>
        <family val="2"/>
      </rPr>
      <t>(norr till söder kordinat)</t>
    </r>
  </si>
  <si>
    <t>Alternativt den som passar din färdlinje</t>
  </si>
  <si>
    <t>din färdlinje</t>
  </si>
  <si>
    <t>Placera gradskivan på kartan, dvs det som passar just din färdsträcka</t>
  </si>
  <si>
    <t>alternativt väster-öster ligger parallellt med lattityd linjen</t>
  </si>
  <si>
    <t>Lägg gradskivan så att norr-söder ligger parallelt med longitud,</t>
  </si>
  <si>
    <t>ska du mixtra med storleken, så se till att bilden förminskas parallellt för att undvika att den blir oval</t>
  </si>
  <si>
    <t>Du kan också lägga till extra bränsle som du vill ha</t>
  </si>
  <si>
    <r>
      <t>Lycka till</t>
    </r>
    <r>
      <rPr>
        <sz val="11"/>
        <color indexed="18"/>
        <rFont val="Arial"/>
        <family val="2"/>
      </rPr>
      <t xml:space="preserve"> </t>
    </r>
    <r>
      <rPr>
        <sz val="11"/>
        <rFont val="Arial"/>
        <family val="2"/>
      </rPr>
      <t>och med vänliga flygarhälsningar</t>
    </r>
  </si>
  <si>
    <r>
      <t xml:space="preserve">Får du mer än 78 liter kommer du nu att få Antal liter = </t>
    </r>
    <r>
      <rPr>
        <sz val="11"/>
        <color indexed="10"/>
        <rFont val="Arial"/>
        <family val="2"/>
      </rPr>
      <t>EJ OK</t>
    </r>
    <r>
      <rPr>
        <sz val="11"/>
        <rFont val="Arial"/>
        <family val="0"/>
      </rPr>
      <t>, och rött på liter</t>
    </r>
  </si>
  <si>
    <t>Fyll i förar- och passagerar vikt samt övrig last du tar med dig</t>
  </si>
  <si>
    <t>etc etc är  det som gäller i första hand. Detta excel ark är bara ett hjälpmedel</t>
  </si>
  <si>
    <t>Nästa gång du flyger samma sträcka får du lite hjälp på traven genom den gamla filen…..</t>
  </si>
  <si>
    <r>
      <t xml:space="preserve">och </t>
    </r>
    <r>
      <rPr>
        <b/>
        <sz val="11"/>
        <color indexed="18"/>
        <rFont val="Arial"/>
        <family val="2"/>
      </rPr>
      <t>glöm ej att titta ut, och vänd om i tid om det skulle bli "skitväder" framför dig</t>
    </r>
  </si>
  <si>
    <t>Motläs: QNH, Transponder,</t>
  </si>
  <si>
    <t>Klareringar, Frekvenser, mm</t>
  </si>
  <si>
    <t>QNH</t>
  </si>
  <si>
    <t>Transponder</t>
  </si>
  <si>
    <t>QFE</t>
  </si>
  <si>
    <t>Anteckna vid behov före/under flygning i rutorna anteckna</t>
  </si>
  <si>
    <t>Start tid</t>
  </si>
  <si>
    <t>Landnings tid</t>
  </si>
  <si>
    <t>Ben</t>
  </si>
  <si>
    <t>Start</t>
  </si>
  <si>
    <t>Landning</t>
  </si>
  <si>
    <t>Totalt</t>
  </si>
  <si>
    <t>Bränsle- och viktberäkning</t>
  </si>
  <si>
    <t>Omvandlare</t>
  </si>
  <si>
    <t>m/s</t>
  </si>
  <si>
    <t>knop</t>
  </si>
  <si>
    <t>Förare</t>
  </si>
  <si>
    <t>Pass</t>
  </si>
  <si>
    <t>Färdbränsle</t>
  </si>
  <si>
    <t>Reservbränsle</t>
  </si>
  <si>
    <t>Extrabränsle</t>
  </si>
  <si>
    <t>Total last</t>
  </si>
  <si>
    <t>Flygplan tom</t>
  </si>
  <si>
    <t>Kontroll</t>
  </si>
  <si>
    <t>m</t>
  </si>
  <si>
    <t>foot</t>
  </si>
  <si>
    <t>Sträcka /
Brytpunkt</t>
  </si>
  <si>
    <t>Sträcka / Brytpunkt</t>
  </si>
  <si>
    <t>Distans
km</t>
  </si>
  <si>
    <t>Färd
vinkel
TT</t>
  </si>
  <si>
    <t>beräkn =</t>
  </si>
  <si>
    <t>A</t>
  </si>
  <si>
    <t>B</t>
  </si>
  <si>
    <t>Beräkning av markhastighet och kursvinkel</t>
  </si>
  <si>
    <t>A - B</t>
  </si>
  <si>
    <t>Vind</t>
  </si>
  <si>
    <t xml:space="preserve">    Vind</t>
  </si>
  <si>
    <t>Med eller motvind, km/h</t>
  </si>
  <si>
    <t>Planerad färdsträcka, distans, km</t>
  </si>
  <si>
    <t>Markfart, GS</t>
  </si>
  <si>
    <r>
      <t xml:space="preserve">Vindriktning ( </t>
    </r>
    <r>
      <rPr>
        <vertAlign val="superscript"/>
        <sz val="10"/>
        <rFont val="Arial"/>
        <family val="2"/>
      </rPr>
      <t xml:space="preserve">0 </t>
    </r>
    <r>
      <rPr>
        <sz val="10"/>
        <rFont val="Arial"/>
        <family val="2"/>
      </rPr>
      <t>)</t>
    </r>
  </si>
  <si>
    <r>
      <t xml:space="preserve">Kurs ( </t>
    </r>
    <r>
      <rPr>
        <vertAlign val="superscript"/>
        <sz val="10"/>
        <rFont val="Arial"/>
        <family val="2"/>
      </rPr>
      <t xml:space="preserve">0 </t>
    </r>
    <r>
      <rPr>
        <sz val="10"/>
        <rFont val="Arial"/>
        <family val="2"/>
      </rPr>
      <t>) TH</t>
    </r>
  </si>
  <si>
    <r>
      <t xml:space="preserve">Färdvinkel ( </t>
    </r>
    <r>
      <rPr>
        <vertAlign val="superscript"/>
        <sz val="10"/>
        <rFont val="Arial"/>
        <family val="2"/>
      </rPr>
      <t xml:space="preserve">0 </t>
    </r>
    <r>
      <rPr>
        <sz val="10"/>
        <rFont val="Arial"/>
        <family val="2"/>
      </rPr>
      <t>) TT</t>
    </r>
  </si>
  <si>
    <t>Markfart</t>
  </si>
  <si>
    <t>Färdvinkel på kartan i grader, TT</t>
  </si>
  <si>
    <t>Vindriktning i grader</t>
  </si>
  <si>
    <t>Kursen du skall hålla i grader, TH</t>
  </si>
  <si>
    <t>Alternativt</t>
  </si>
  <si>
    <t>den som</t>
  </si>
  <si>
    <t>passar</t>
  </si>
  <si>
    <t>Linje för</t>
  </si>
  <si>
    <t>latitud</t>
  </si>
  <si>
    <t xml:space="preserve">(lattitud </t>
  </si>
  <si>
    <t>paralleller)</t>
  </si>
  <si>
    <t>Fyll i dom rutor som är markerade med prickad ishavsblå</t>
  </si>
  <si>
    <t>Fyll i sträcka på nr 2, dvs destination, kurs och vind  etc,</t>
  </si>
  <si>
    <t>Fyll i övrig data som är viktigt för just din flygning om du använder fliken</t>
  </si>
  <si>
    <t>Du behöver acrobat reader för att öppna detta</t>
  </si>
  <si>
    <t>Vid klistra in bilden så förvränger excel bilden, därav en acrobat fil i stället</t>
  </si>
  <si>
    <t>Rutor som är gula blir automatiskt beräknade och är låsta</t>
  </si>
  <si>
    <r>
      <t xml:space="preserve">Nedan följer exempel på hur </t>
    </r>
    <r>
      <rPr>
        <b/>
        <sz val="10"/>
        <color indexed="16"/>
        <rFont val="Arial"/>
        <family val="2"/>
      </rPr>
      <t>kursvinkel bestämning med gradskiva går till etc</t>
    </r>
  </si>
  <si>
    <t>Försökte välja en färg som passar alla skrivare…, dvs som makeringen under denna text är</t>
  </si>
  <si>
    <t>http://www.adobe.com/se/products/acrobat/readstep2.html</t>
  </si>
  <si>
    <t>Har du inte reader så hittar du detta gratis under nedan länk:</t>
  </si>
  <si>
    <t>Att läsa av Kursvinkeln med gradskivan, för den som inte vet</t>
  </si>
  <si>
    <t>cm</t>
  </si>
  <si>
    <t>1:25000
km</t>
  </si>
  <si>
    <t>1:50000
km</t>
  </si>
  <si>
    <t>Vind km/h</t>
  </si>
  <si>
    <t>Kurs 
( ° )
TH</t>
  </si>
  <si>
    <t>Färd-
vinkel
( ° ) TT</t>
  </si>
  <si>
    <t>Markfart km/h
GS</t>
  </si>
  <si>
    <t>Kurshastighet km/h, TAS</t>
  </si>
  <si>
    <t>Markfart, din verkliga fart du får, km/h, GS</t>
  </si>
  <si>
    <t>Kurs
TH</t>
  </si>
  <si>
    <t>Fyll i beräknad start tid på nr 1, kan ju vara olika beroende på flygplats</t>
  </si>
  <si>
    <t>Du kan ändra beräknad marschfart, (=normalt ca 160 för Samburo) vid behov</t>
  </si>
  <si>
    <r>
      <t xml:space="preserve">Får du EJ OK, medför att du får </t>
    </r>
    <r>
      <rPr>
        <sz val="11"/>
        <color indexed="10"/>
        <rFont val="Arial"/>
        <family val="2"/>
      </rPr>
      <t>räkna om</t>
    </r>
    <r>
      <rPr>
        <sz val="11"/>
        <rFont val="Arial"/>
        <family val="0"/>
      </rPr>
      <t xml:space="preserve"> tyvärr (78 liter gäller Samburo)</t>
    </r>
  </si>
  <si>
    <t>Nu har du fått din totala vikt, inkl. pilot och bränsle</t>
  </si>
  <si>
    <t>Om du får övervikt, ……….måste allt verkligen med? (750 kg gäller Samburo)</t>
  </si>
  <si>
    <t>Nu har du fått beräknad bränsle åtgång inkl reserv samt tiden för flygningen, samt</t>
  </si>
  <si>
    <t>din verkliga kurs du skall hålla ( TH )</t>
  </si>
  <si>
    <t>Bagage</t>
  </si>
  <si>
    <t>Max bagage</t>
  </si>
  <si>
    <t>Max totalt</t>
  </si>
  <si>
    <t>Kart mätning</t>
  </si>
  <si>
    <t>Flygtid 
t,mm</t>
  </si>
  <si>
    <t>Bagage över max</t>
  </si>
  <si>
    <t>Totalt över max</t>
  </si>
  <si>
    <t>Min förare + pass</t>
  </si>
  <si>
    <t>Beräkn kontroll</t>
  </si>
  <si>
    <t>%</t>
  </si>
  <si>
    <t>Naturligtvis är du utbildad med att kunna räkna ut all flygdata utan detta excel ark</t>
  </si>
  <si>
    <t>Lite "kort"…. info om hur Samburo driftplanen skall fyllas i etc. för den som inte vet</t>
  </si>
  <si>
    <t>Uppgraderings historia</t>
  </si>
  <si>
    <t>Uppgradering</t>
  </si>
  <si>
    <t>Datum</t>
  </si>
  <si>
    <t>Utgåva</t>
  </si>
  <si>
    <t>Räknar i detta fallet med att du väljer Auto beräkning……, annars läs nedan</t>
  </si>
  <si>
    <t>"Driftplan, manuell eller auto". Driftplanen fylls i automatiskt efterhand du jobbar med planering.</t>
  </si>
  <si>
    <t>Allmän segelflygfrekvens: 123,500</t>
  </si>
  <si>
    <r>
      <t xml:space="preserve">ACC- AOR/TMC-frekvenser </t>
    </r>
    <r>
      <rPr>
        <sz val="12"/>
        <rFont val="Arial"/>
        <family val="2"/>
      </rPr>
      <t>enligt uppslag 6-7.</t>
    </r>
  </si>
  <si>
    <t>Flygplatser</t>
  </si>
  <si>
    <t>Arboga FK</t>
  </si>
  <si>
    <t>Långtora segel</t>
  </si>
  <si>
    <t>Arbrå FK</t>
  </si>
  <si>
    <t>Malung FK</t>
  </si>
  <si>
    <t>Avesta radio</t>
  </si>
  <si>
    <t>Mohed radio</t>
  </si>
  <si>
    <t>Bollnäs FK</t>
  </si>
  <si>
    <t>Molanda radio (Åre)</t>
  </si>
  <si>
    <t>Borlängetornet</t>
  </si>
  <si>
    <t>Mora Info</t>
  </si>
  <si>
    <t xml:space="preserve">Brattforsheden radio </t>
  </si>
  <si>
    <t>Munkfors FK</t>
  </si>
  <si>
    <t>Dala-Järna FK</t>
  </si>
  <si>
    <t>Norberg radio</t>
  </si>
  <si>
    <t>Degerfors Grenlanda</t>
  </si>
  <si>
    <t>Orsa radio</t>
  </si>
  <si>
    <t>Edsbyn FK</t>
  </si>
  <si>
    <t>Sala FK</t>
  </si>
  <si>
    <t>Ekshärad FK</t>
  </si>
  <si>
    <t>Siljansnäs FK</t>
  </si>
  <si>
    <t>Eskilstuna FK</t>
  </si>
  <si>
    <t>Storvik FK</t>
  </si>
  <si>
    <t>Eskilstuna Info (Kju)</t>
  </si>
  <si>
    <t>Strömsund FK</t>
  </si>
  <si>
    <t>Frösö kontroll</t>
  </si>
  <si>
    <t xml:space="preserve">Sundbro </t>
  </si>
  <si>
    <t>Frösötornet</t>
  </si>
  <si>
    <t>Sunne FK</t>
  </si>
  <si>
    <t>Gagnef radio</t>
  </si>
  <si>
    <t>Sveg Info</t>
  </si>
  <si>
    <t>Svenstavik FK</t>
  </si>
  <si>
    <t>Gävle Info</t>
  </si>
  <si>
    <t>Sälenfjällen FK</t>
  </si>
  <si>
    <t>Hagfors Info</t>
  </si>
  <si>
    <t>Söderhamn Info</t>
  </si>
  <si>
    <t>Hudiksvall FK</t>
  </si>
  <si>
    <t>Torsby Info</t>
  </si>
  <si>
    <t>Hällefors FK</t>
  </si>
  <si>
    <t>Uppsala Kontroll</t>
  </si>
  <si>
    <t>Johannisberg radio</t>
  </si>
  <si>
    <t>Uppsalatornet</t>
  </si>
  <si>
    <t>Karlskoga Info</t>
  </si>
  <si>
    <t>Västeråstornet</t>
  </si>
  <si>
    <t>Karlstadtornet</t>
  </si>
  <si>
    <t>Ånge FK</t>
  </si>
  <si>
    <t>Kramfors Info</t>
  </si>
  <si>
    <t>Älvdalen FK</t>
  </si>
  <si>
    <t>Köping FK</t>
  </si>
  <si>
    <t>Örebrotornet</t>
  </si>
  <si>
    <t>Ljusdal FK</t>
  </si>
  <si>
    <t>Örnsköldsvik Info</t>
  </si>
  <si>
    <t>Ludvika Info</t>
  </si>
  <si>
    <t>Östersund FK (Ope)</t>
  </si>
  <si>
    <t>L-E Hansson, UC Möllevinge</t>
  </si>
  <si>
    <t>Du kan använda fliken "Frekvenser" till hjälp, men glöm ej att detta bara är en hjälp och kanske</t>
  </si>
  <si>
    <t>inte den senaste info och uppdatering. Kontrollera med Svenska Flygfät som ex.</t>
  </si>
  <si>
    <t>tim, min</t>
  </si>
  <si>
    <t>Summa :</t>
  </si>
  <si>
    <t>Se under fliken "hjälp" hur du skall mäta kursen</t>
  </si>
  <si>
    <t xml:space="preserve">Beräknad marschfart TAS </t>
  </si>
  <si>
    <t>l/h</t>
  </si>
  <si>
    <t xml:space="preserve">Bränsleförbrukning </t>
  </si>
  <si>
    <t>Kvar till full tank</t>
  </si>
  <si>
    <t xml:space="preserve"> Liter i tank</t>
  </si>
  <si>
    <t>Tierp</t>
  </si>
  <si>
    <t>Arvika</t>
  </si>
  <si>
    <t>Örebro segel</t>
  </si>
  <si>
    <t>Tachotid stopp</t>
  </si>
  <si>
    <t>Tachotid start</t>
  </si>
  <si>
    <t>Tacho Tim,min</t>
  </si>
  <si>
    <t>Flygtid</t>
  </si>
  <si>
    <t>Typ</t>
  </si>
  <si>
    <t>Data</t>
  </si>
  <si>
    <t>Registrerings beteckning</t>
  </si>
  <si>
    <t>Vikt av flygplan i kg då det är tomt</t>
  </si>
  <si>
    <t>Liter kvar i tanksystem då det är tomt</t>
  </si>
  <si>
    <t>Flygplanstyp</t>
  </si>
  <si>
    <t>Max totalt antal liter i bränsletank</t>
  </si>
  <si>
    <t>Driftfärdplan</t>
  </si>
  <si>
    <t>Grunddata för Motorseglare</t>
  </si>
  <si>
    <t>Grund data enligt gällande flyghandbok för Motorseglare som används i dokumentet</t>
  </si>
  <si>
    <t>Bästa glid km/h</t>
  </si>
  <si>
    <t>Registrerings beteckning förkortning</t>
  </si>
  <si>
    <r>
      <t xml:space="preserve">Ändra bara data vid byte av flygplanstyp, och </t>
    </r>
    <r>
      <rPr>
        <b/>
        <sz val="11"/>
        <color indexed="10"/>
        <rFont val="Arial"/>
        <family val="2"/>
      </rPr>
      <t>alla Data rutor måste vara ifyllda</t>
    </r>
  </si>
  <si>
    <t>RON 95</t>
  </si>
  <si>
    <t>1. Rekomenderat bränsle normalt</t>
  </si>
  <si>
    <t>Bränsle minimum</t>
  </si>
  <si>
    <t>Normalbränsle</t>
  </si>
  <si>
    <t>Befälhavare / Pilot</t>
  </si>
  <si>
    <t>Max startvikt, totalvikt för flygplanet i kg</t>
  </si>
  <si>
    <t>Befälhavare/Pilot :</t>
  </si>
  <si>
    <t>Max förare + pass</t>
  </si>
  <si>
    <t>Färdberäkning</t>
  </si>
  <si>
    <t>Sjunkhastighet m/s vid bästa glid</t>
  </si>
  <si>
    <t>Säkerhetshöjd m:</t>
  </si>
  <si>
    <t>Gällande</t>
  </si>
  <si>
    <t>Glidtal 1:</t>
  </si>
  <si>
    <t>Max baggagevikt i kg</t>
  </si>
  <si>
    <t>Min förarvikt kg</t>
  </si>
  <si>
    <t>Bränsleförbrukning liter/timme</t>
  </si>
  <si>
    <t>2. Rekomenderat bränsle, minimum</t>
  </si>
  <si>
    <t>Startvikt totalt enligt beräkning</t>
  </si>
  <si>
    <t>Begär klarering till…(pos, höjd minus)</t>
  </si>
  <si>
    <t>Observera att gällande frekvenser finnas i KSAB's Svenska flygfält</t>
  </si>
  <si>
    <t>Total beräknad flygtid decimalt  tim,min</t>
  </si>
  <si>
    <t xml:space="preserve">Total beräknad flygtid decimalt inklusive all ifylld bränsle till stopp : </t>
  </si>
  <si>
    <t>Liter</t>
  </si>
  <si>
    <t>Kg</t>
  </si>
  <si>
    <t>Vind riktning  
( ° )</t>
  </si>
  <si>
    <t>Dis-tans
km</t>
  </si>
  <si>
    <t>Km/h</t>
  </si>
  <si>
    <t>Max förarvikt inklusive passagerare kg</t>
  </si>
  <si>
    <t>Totalt beräknad flygtid enligt klockan</t>
  </si>
  <si>
    <t xml:space="preserve">Totalt beräknad flygtid enligt klockan </t>
  </si>
  <si>
    <t>Radiokanal</t>
  </si>
  <si>
    <r>
      <t xml:space="preserve">Radiokanaler ( </t>
    </r>
    <r>
      <rPr>
        <sz val="12"/>
        <rFont val="Arial"/>
        <family val="2"/>
      </rPr>
      <t>Frekvenser )</t>
    </r>
  </si>
  <si>
    <t>Färdig… ?</t>
  </si>
  <si>
    <t>Gå till Planering, genom att trycka här</t>
  </si>
  <si>
    <r>
      <t>Börja normalt med att välja fliken "planering"</t>
    </r>
    <r>
      <rPr>
        <sz val="11"/>
        <rFont val="Arial"/>
        <family val="0"/>
      </rPr>
      <t>, alternativt skriv ut fliken "driftplan, manuell eller</t>
    </r>
  </si>
  <si>
    <t>auto" och anteckna för hand på pappret. Om det handlar om en ny typ av motorseglare, se punkt 2</t>
  </si>
  <si>
    <t>Gå till fliken "Grunddata" vid flygplansbyte och ändrad grundata. Endast vid behov och flygplansbyte.</t>
  </si>
  <si>
    <t>Reservbränsle / tid</t>
  </si>
  <si>
    <t>Bränsle
Liter</t>
  </si>
  <si>
    <t>Vikt Kg</t>
  </si>
  <si>
    <t>H</t>
  </si>
  <si>
    <r>
      <t>Du kan trycka här för att komma till fliken planering</t>
    </r>
    <r>
      <rPr>
        <b/>
        <sz val="12"/>
        <color indexed="12"/>
        <rFont val="Arial"/>
        <family val="2"/>
      </rPr>
      <t xml:space="preserve">   </t>
    </r>
    <r>
      <rPr>
        <b/>
        <sz val="18"/>
        <color indexed="12"/>
        <rFont val="Wingdings"/>
        <family val="0"/>
      </rPr>
      <t>E</t>
    </r>
  </si>
  <si>
    <r>
      <t xml:space="preserve">Du kan också trycka här för att komma till fliken Grunddata då ny flygplanstyp ska användas   </t>
    </r>
    <r>
      <rPr>
        <sz val="18"/>
        <color indexed="12"/>
        <rFont val="Wingdings"/>
        <family val="0"/>
      </rPr>
      <t>E</t>
    </r>
  </si>
  <si>
    <t>Hittar du fel eller andra förslag på förbättringar, meddela gärna Segelflyget detta eller till</t>
  </si>
  <si>
    <t>upphovsmakaren som finns hos Segelflygarna Uppsala flygklubb</t>
  </si>
  <si>
    <t>L-E Hansson, samt P Johansson och R Alenkvist</t>
  </si>
  <si>
    <r>
      <t>Höjdbehov</t>
    </r>
    <r>
      <rPr>
        <sz val="12"/>
        <rFont val="Arial"/>
        <family val="2"/>
      </rPr>
      <t xml:space="preserve"> / km</t>
    </r>
  </si>
  <si>
    <t>Vind km/h+säk.höjd</t>
  </si>
  <si>
    <t>Sjunk m / 5km</t>
  </si>
  <si>
    <t>Bränsle totalt ska finnas enl. beräkning</t>
  </si>
  <si>
    <r>
      <t xml:space="preserve">Glidtalsberäkning </t>
    </r>
    <r>
      <rPr>
        <sz val="10"/>
        <rFont val="Arial"/>
        <family val="2"/>
      </rPr>
      <t>(bäst glid)</t>
    </r>
  </si>
  <si>
    <t>Pos, höjd, antal pers ombord</t>
  </si>
  <si>
    <t>Innehåller gradskivan enligt exempel, samt linjal</t>
  </si>
  <si>
    <t>Dubbelklicka på Acrobat pdf dokumentet ovan (blå rutan)</t>
  </si>
  <si>
    <t>Motsatt färdvinkel i grader</t>
  </si>
  <si>
    <t>Diagram för utbildnings syfte. Data enligt valda värden i driftplanen</t>
  </si>
  <si>
    <t>Höjdbehov / km</t>
  </si>
  <si>
    <t>Höjd 1</t>
  </si>
  <si>
    <t>Höjd 2</t>
  </si>
  <si>
    <t>Säkerhets höjd</t>
  </si>
  <si>
    <t>Teoretiska värden. Skrivs normalt inte ut om inte behovet finns</t>
  </si>
  <si>
    <t>Första utgåva redigerad för att användas inom Segelflyget generellt</t>
  </si>
  <si>
    <t>Utgåvan har uppgraderats och testats i klubben och finns nu i utgåva 3,1</t>
  </si>
  <si>
    <t>Första utgåva utkom till Segelflygarna Uppsla Flygklubb. Dokumentet låst för redigering</t>
  </si>
  <si>
    <t>fast utan lösenord rör att undvika misstag</t>
  </si>
  <si>
    <r>
      <t>©</t>
    </r>
    <r>
      <rPr>
        <b/>
        <i/>
        <sz val="10"/>
        <color indexed="18"/>
        <rFont val="Arial"/>
        <family val="2"/>
      </rPr>
      <t xml:space="preserve"> Segelflyget</t>
    </r>
  </si>
  <si>
    <t>Karlskoga</t>
  </si>
  <si>
    <t>Örebro Tornet</t>
  </si>
  <si>
    <t>Örebro Segel</t>
  </si>
  <si>
    <t>Brattforsheden</t>
  </si>
  <si>
    <t>Karlstad Tornet</t>
  </si>
  <si>
    <t>Sweden Ctrl</t>
  </si>
  <si>
    <t>KSFK 1</t>
  </si>
  <si>
    <t>Första utgåva anpassad för KSFK och UDM</t>
  </si>
  <si>
    <t>KSFK 2</t>
  </si>
  <si>
    <t>Radiofrekvenser för karlskogaområdet angivna</t>
  </si>
  <si>
    <t>Grob G 109B</t>
  </si>
  <si>
    <t>SE-UAB</t>
  </si>
  <si>
    <t>AB</t>
  </si>
  <si>
    <t>Hjelmco UL 91/96</t>
  </si>
  <si>
    <t>KSFK 3</t>
  </si>
  <si>
    <t>Första utgåva anpassad för KSFK och UAB</t>
  </si>
  <si>
    <t>KSFK 4</t>
  </si>
  <si>
    <t>Frekvenser rättade</t>
  </si>
</sst>
</file>

<file path=xl/styles.xml><?xml version="1.0" encoding="utf-8"?>
<styleSheet xmlns="http://schemas.openxmlformats.org/spreadsheetml/2006/main">
  <numFmts count="4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[$-41D]&quot;den &quot;d\ mmmm\ yyyy"/>
    <numFmt numFmtId="167" formatCode="0.0000"/>
    <numFmt numFmtId="168" formatCode="0.000"/>
    <numFmt numFmtId="169" formatCode="0.0"/>
    <numFmt numFmtId="170" formatCode="0_ ;[Red]\-0\ "/>
    <numFmt numFmtId="171" formatCode="0_ ;[Red]\&gt;\7\2\ "/>
    <numFmt numFmtId="172" formatCode="#,;[Red]\&gt;\7\2"/>
    <numFmt numFmtId="173" formatCode="0,;[Red]\&gt;\7\2"/>
    <numFmt numFmtId="174" formatCode="0_ ;[Red]\&gt;\7\2"/>
    <numFmt numFmtId="175" formatCode="#,##0;[Red]\&gt;\7\2#,##0"/>
    <numFmt numFmtId="176" formatCode="[Red][&gt;72]General;General"/>
    <numFmt numFmtId="177" formatCode="[Red][=0]General;General"/>
    <numFmt numFmtId="178" formatCode="yyyy/mm/dd;@"/>
    <numFmt numFmtId="179" formatCode="[Red][&gt;73]General;General"/>
    <numFmt numFmtId="180" formatCode="[Red][&gt;=73]General;General"/>
    <numFmt numFmtId="181" formatCode="[Red][&gt;=72]General;General"/>
    <numFmt numFmtId="182" formatCode="[Red][&gt;=78]General;General"/>
    <numFmt numFmtId="183" formatCode="[Red][&gt;=79]General;General"/>
    <numFmt numFmtId="184" formatCode="[Red][&gt;750]General;General"/>
    <numFmt numFmtId="185" formatCode="[Red][&gt;750]General"/>
    <numFmt numFmtId="186" formatCode="0;[Red]0"/>
    <numFmt numFmtId="187" formatCode="0;[Black]0"/>
    <numFmt numFmtId="188" formatCode="[Red][&gt;=72]#;#"/>
    <numFmt numFmtId="189" formatCode="[Red][&gt;=78]#;#"/>
    <numFmt numFmtId="190" formatCode="[Red][&gt;=79]#;#"/>
    <numFmt numFmtId="191" formatCode="[Red][&gt;78]#;#"/>
    <numFmt numFmtId="192" formatCode="[Red][&gt;79]#;#"/>
    <numFmt numFmtId="193" formatCode="[Red][=0]#;#"/>
    <numFmt numFmtId="194" formatCode="h:mm"/>
    <numFmt numFmtId="195" formatCode="&quot;Ja&quot;;&quot;Ja&quot;;&quot;Nej&quot;"/>
    <numFmt numFmtId="196" formatCode="&quot;Sant&quot;;&quot;Sant&quot;;&quot;Falskt&quot;"/>
    <numFmt numFmtId="197" formatCode="&quot;På&quot;;&quot;På&quot;;&quot;Av&quot;"/>
    <numFmt numFmtId="198" formatCode="[$€-2]\ #,##0.00_);[Red]\([$€-2]\ #,##0.00\)"/>
    <numFmt numFmtId="199" formatCode="[h]:mm"/>
    <numFmt numFmtId="200" formatCode="[$-F400]h:mm:ss\ AM/PM"/>
    <numFmt numFmtId="201" formatCode="[h]"/>
    <numFmt numFmtId="202" formatCode="#&quot; &quot;?/4"/>
    <numFmt numFmtId="203" formatCode="#,##0.0"/>
    <numFmt numFmtId="204" formatCode="_-* #,##0.0\ _k_r_-;\-* #,##0.0\ _k_r_-;_-* &quot;-&quot;??\ _k_r_-;_-@_-"/>
  </numFmts>
  <fonts count="82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i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i/>
      <sz val="10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indexed="10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1"/>
      <color indexed="16"/>
      <name val="Arial"/>
      <family val="2"/>
    </font>
    <font>
      <b/>
      <sz val="10"/>
      <color indexed="16"/>
      <name val="Arial"/>
      <family val="2"/>
    </font>
    <font>
      <vertAlign val="superscript"/>
      <sz val="10"/>
      <name val="Arial"/>
      <family val="2"/>
    </font>
    <font>
      <sz val="11"/>
      <color indexed="12"/>
      <name val="Arial"/>
      <family val="0"/>
    </font>
    <font>
      <u val="single"/>
      <sz val="8.5"/>
      <color indexed="12"/>
      <name val="Arial"/>
      <family val="0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color indexed="18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12"/>
      <name val="Arial"/>
      <family val="2"/>
    </font>
    <font>
      <u val="single"/>
      <sz val="8.2"/>
      <color indexed="36"/>
      <name val="Arial"/>
      <family val="0"/>
    </font>
    <font>
      <b/>
      <sz val="11"/>
      <color indexed="17"/>
      <name val="Arial"/>
      <family val="2"/>
    </font>
    <font>
      <b/>
      <u val="single"/>
      <sz val="12"/>
      <color indexed="12"/>
      <name val="Arial"/>
      <family val="2"/>
    </font>
    <font>
      <sz val="36"/>
      <color indexed="18"/>
      <name val="Wingdings"/>
      <family val="0"/>
    </font>
    <font>
      <b/>
      <sz val="18"/>
      <color indexed="12"/>
      <name val="Wingdings"/>
      <family val="0"/>
    </font>
    <font>
      <sz val="10"/>
      <name val="Wingdings"/>
      <family val="0"/>
    </font>
    <font>
      <sz val="18"/>
      <color indexed="12"/>
      <name val="Wingdings"/>
      <family val="0"/>
    </font>
    <font>
      <i/>
      <sz val="9"/>
      <name val="Arial"/>
      <family val="2"/>
    </font>
    <font>
      <sz val="10"/>
      <color indexed="16"/>
      <name val="Arial"/>
      <family val="0"/>
    </font>
    <font>
      <b/>
      <sz val="12"/>
      <color indexed="17"/>
      <name val="Arial"/>
      <family val="2"/>
    </font>
    <font>
      <sz val="10.5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sz val="11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31"/>
        <bgColor indexed="9"/>
      </patternFill>
    </fill>
    <fill>
      <patternFill patternType="lightGray">
        <bgColor indexed="41"/>
      </patternFill>
    </fill>
    <fill>
      <patternFill patternType="gray0625">
        <fgColor indexed="10"/>
        <bgColor indexed="9"/>
      </patternFill>
    </fill>
    <fill>
      <patternFill patternType="lightGray">
        <fgColor indexed="31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44"/>
        <bgColor indexed="9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0" fillId="20" borderId="1" applyNumberFormat="0" applyFont="0" applyAlignment="0" applyProtection="0"/>
    <xf numFmtId="0" fontId="67" fillId="21" borderId="2" applyNumberFormat="0" applyAlignment="0" applyProtection="0"/>
    <xf numFmtId="0" fontId="68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1" fillId="30" borderId="2" applyNumberFormat="0" applyAlignment="0" applyProtection="0"/>
    <xf numFmtId="0" fontId="72" fillId="31" borderId="3" applyNumberFormat="0" applyAlignment="0" applyProtection="0"/>
    <xf numFmtId="0" fontId="73" fillId="0" borderId="4" applyNumberFormat="0" applyFill="0" applyAlignment="0" applyProtection="0"/>
    <xf numFmtId="0" fontId="74" fillId="32" borderId="0" applyNumberFormat="0" applyBorder="0" applyAlignment="0" applyProtection="0"/>
    <xf numFmtId="0" fontId="2" fillId="33" borderId="5" applyNumberFormat="0" applyProtection="0">
      <alignment horizontal="center"/>
    </xf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0" fillId="21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505">
    <xf numFmtId="0" fontId="0" fillId="0" borderId="0" xfId="0" applyAlignment="1">
      <alignment/>
    </xf>
    <xf numFmtId="0" fontId="2" fillId="34" borderId="0" xfId="0" applyFont="1" applyFill="1" applyAlignment="1">
      <alignment/>
    </xf>
    <xf numFmtId="0" fontId="2" fillId="34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34" borderId="1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9" fillId="34" borderId="0" xfId="0" applyFont="1" applyFill="1" applyAlignment="1">
      <alignment horizontal="left"/>
    </xf>
    <xf numFmtId="0" fontId="3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3" fillId="34" borderId="13" xfId="0" applyFont="1" applyFill="1" applyBorder="1" applyAlignment="1">
      <alignment horizontal="center"/>
    </xf>
    <xf numFmtId="0" fontId="14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1" fontId="2" fillId="35" borderId="11" xfId="0" applyNumberFormat="1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>
      <alignment horizontal="center" wrapText="1"/>
    </xf>
    <xf numFmtId="169" fontId="2" fillId="35" borderId="11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3" fillId="34" borderId="14" xfId="0" applyFont="1" applyFill="1" applyBorder="1" applyAlignment="1">
      <alignment horizontal="center" wrapText="1"/>
    </xf>
    <xf numFmtId="0" fontId="2" fillId="36" borderId="11" xfId="0" applyFont="1" applyFill="1" applyBorder="1" applyAlignment="1" applyProtection="1">
      <alignment horizontal="left" vertical="center"/>
      <protection/>
    </xf>
    <xf numFmtId="1" fontId="2" fillId="36" borderId="11" xfId="0" applyNumberFormat="1" applyFont="1" applyFill="1" applyBorder="1" applyAlignment="1" applyProtection="1">
      <alignment horizontal="center" vertical="center"/>
      <protection/>
    </xf>
    <xf numFmtId="170" fontId="2" fillId="36" borderId="11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Alignment="1">
      <alignment horizontal="left"/>
    </xf>
    <xf numFmtId="0" fontId="14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16" fillId="34" borderId="0" xfId="0" applyFont="1" applyFill="1" applyAlignment="1">
      <alignment horizontal="left"/>
    </xf>
    <xf numFmtId="0" fontId="18" fillId="34" borderId="0" xfId="0" applyFont="1" applyFill="1" applyAlignment="1">
      <alignment horizontal="left"/>
    </xf>
    <xf numFmtId="1" fontId="3" fillId="36" borderId="11" xfId="0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169" fontId="2" fillId="35" borderId="18" xfId="0" applyNumberFormat="1" applyFont="1" applyFill="1" applyBorder="1" applyAlignment="1">
      <alignment horizontal="center"/>
    </xf>
    <xf numFmtId="169" fontId="2" fillId="35" borderId="19" xfId="0" applyNumberFormat="1" applyFont="1" applyFill="1" applyBorder="1" applyAlignment="1">
      <alignment horizontal="center"/>
    </xf>
    <xf numFmtId="169" fontId="2" fillId="35" borderId="20" xfId="0" applyNumberFormat="1" applyFont="1" applyFill="1" applyBorder="1" applyAlignment="1">
      <alignment horizontal="center"/>
    </xf>
    <xf numFmtId="169" fontId="2" fillId="35" borderId="21" xfId="0" applyNumberFormat="1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3" fontId="2" fillId="36" borderId="18" xfId="0" applyNumberFormat="1" applyFont="1" applyFill="1" applyBorder="1" applyAlignment="1">
      <alignment horizontal="center"/>
    </xf>
    <xf numFmtId="3" fontId="2" fillId="36" borderId="21" xfId="0" applyNumberFormat="1" applyFont="1" applyFill="1" applyBorder="1" applyAlignment="1">
      <alignment horizontal="center"/>
    </xf>
    <xf numFmtId="3" fontId="24" fillId="37" borderId="11" xfId="0" applyNumberFormat="1" applyFont="1" applyFill="1" applyBorder="1" applyAlignment="1" applyProtection="1">
      <alignment horizontal="center"/>
      <protection locked="0"/>
    </xf>
    <xf numFmtId="1" fontId="24" fillId="37" borderId="11" xfId="0" applyNumberFormat="1" applyFont="1" applyFill="1" applyBorder="1" applyAlignment="1" applyProtection="1">
      <alignment horizontal="center"/>
      <protection locked="0"/>
    </xf>
    <xf numFmtId="1" fontId="24" fillId="37" borderId="19" xfId="0" applyNumberFormat="1" applyFont="1" applyFill="1" applyBorder="1" applyAlignment="1" applyProtection="1">
      <alignment horizontal="center"/>
      <protection locked="0"/>
    </xf>
    <xf numFmtId="1" fontId="24" fillId="37" borderId="24" xfId="0" applyNumberFormat="1" applyFont="1" applyFill="1" applyBorder="1" applyAlignment="1" applyProtection="1">
      <alignment horizontal="center"/>
      <protection locked="0"/>
    </xf>
    <xf numFmtId="3" fontId="24" fillId="37" borderId="24" xfId="0" applyNumberFormat="1" applyFont="1" applyFill="1" applyBorder="1" applyAlignment="1" applyProtection="1">
      <alignment horizontal="center"/>
      <protection locked="0"/>
    </xf>
    <xf numFmtId="0" fontId="24" fillId="37" borderId="19" xfId="0" applyFont="1" applyFill="1" applyBorder="1" applyAlignment="1" applyProtection="1">
      <alignment horizontal="center"/>
      <protection locked="0"/>
    </xf>
    <xf numFmtId="0" fontId="24" fillId="37" borderId="11" xfId="0" applyFont="1" applyFill="1" applyBorder="1" applyAlignment="1" applyProtection="1">
      <alignment horizontal="center"/>
      <protection locked="0"/>
    </xf>
    <xf numFmtId="1" fontId="3" fillId="35" borderId="25" xfId="0" applyNumberFormat="1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 wrapText="1"/>
    </xf>
    <xf numFmtId="0" fontId="3" fillId="34" borderId="30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24" fillId="37" borderId="27" xfId="0" applyFont="1" applyFill="1" applyBorder="1" applyAlignment="1" applyProtection="1">
      <alignment horizontal="center"/>
      <protection locked="0"/>
    </xf>
    <xf numFmtId="0" fontId="6" fillId="34" borderId="0" xfId="0" applyFont="1" applyFill="1" applyAlignment="1">
      <alignment horizontal="left"/>
    </xf>
    <xf numFmtId="0" fontId="26" fillId="34" borderId="0" xfId="0" applyFont="1" applyFill="1" applyAlignment="1">
      <alignment horizontal="left" indent="1"/>
    </xf>
    <xf numFmtId="0" fontId="4" fillId="34" borderId="0" xfId="0" applyFont="1" applyFill="1" applyAlignment="1">
      <alignment horizontal="left" indent="1"/>
    </xf>
    <xf numFmtId="0" fontId="0" fillId="34" borderId="0" xfId="0" applyFont="1" applyFill="1" applyAlignment="1">
      <alignment horizontal="left" indent="1"/>
    </xf>
    <xf numFmtId="0" fontId="2" fillId="34" borderId="0" xfId="0" applyFont="1" applyFill="1" applyAlignment="1">
      <alignment horizontal="left" indent="1"/>
    </xf>
    <xf numFmtId="0" fontId="14" fillId="34" borderId="0" xfId="0" applyFont="1" applyFill="1" applyAlignment="1">
      <alignment horizontal="left" indent="1"/>
    </xf>
    <xf numFmtId="0" fontId="3" fillId="34" borderId="0" xfId="0" applyFont="1" applyFill="1" applyAlignment="1">
      <alignment horizontal="left" indent="1"/>
    </xf>
    <xf numFmtId="0" fontId="27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2" fillId="34" borderId="32" xfId="0" applyFont="1" applyFill="1" applyBorder="1" applyAlignment="1">
      <alignment horizontal="left" vertical="center"/>
    </xf>
    <xf numFmtId="0" fontId="2" fillId="34" borderId="33" xfId="0" applyFont="1" applyFill="1" applyBorder="1" applyAlignment="1">
      <alignment horizontal="right" vertical="center"/>
    </xf>
    <xf numFmtId="0" fontId="2" fillId="34" borderId="13" xfId="0" applyFont="1" applyFill="1" applyBorder="1" applyAlignment="1">
      <alignment horizontal="right" vertical="center"/>
    </xf>
    <xf numFmtId="0" fontId="2" fillId="34" borderId="32" xfId="0" applyFont="1" applyFill="1" applyBorder="1" applyAlignment="1">
      <alignment vertical="center"/>
    </xf>
    <xf numFmtId="0" fontId="0" fillId="34" borderId="33" xfId="0" applyFont="1" applyFill="1" applyBorder="1" applyAlignment="1">
      <alignment/>
    </xf>
    <xf numFmtId="0" fontId="2" fillId="34" borderId="0" xfId="0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horizontal="right" vertical="center"/>
    </xf>
    <xf numFmtId="3" fontId="2" fillId="38" borderId="11" xfId="0" applyNumberFormat="1" applyFont="1" applyFill="1" applyBorder="1" applyAlignment="1">
      <alignment/>
    </xf>
    <xf numFmtId="0" fontId="2" fillId="38" borderId="11" xfId="0" applyFont="1" applyFill="1" applyBorder="1" applyAlignment="1">
      <alignment horizontal="center"/>
    </xf>
    <xf numFmtId="1" fontId="2" fillId="38" borderId="11" xfId="0" applyNumberFormat="1" applyFont="1" applyFill="1" applyBorder="1" applyAlignment="1">
      <alignment horizontal="center"/>
    </xf>
    <xf numFmtId="0" fontId="2" fillId="38" borderId="29" xfId="0" applyFont="1" applyFill="1" applyBorder="1" applyAlignment="1">
      <alignment horizontal="center"/>
    </xf>
    <xf numFmtId="0" fontId="2" fillId="38" borderId="18" xfId="0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2" fillId="38" borderId="19" xfId="0" applyFont="1" applyFill="1" applyBorder="1" applyAlignment="1">
      <alignment horizontal="center"/>
    </xf>
    <xf numFmtId="0" fontId="2" fillId="38" borderId="34" xfId="0" applyFont="1" applyFill="1" applyBorder="1" applyAlignment="1">
      <alignment horizontal="center"/>
    </xf>
    <xf numFmtId="0" fontId="2" fillId="38" borderId="24" xfId="0" applyFont="1" applyFill="1" applyBorder="1" applyAlignment="1">
      <alignment horizontal="center"/>
    </xf>
    <xf numFmtId="170" fontId="2" fillId="38" borderId="11" xfId="0" applyNumberFormat="1" applyFont="1" applyFill="1" applyBorder="1" applyAlignment="1" applyProtection="1">
      <alignment horizontal="right" vertical="center"/>
      <protection/>
    </xf>
    <xf numFmtId="0" fontId="7" fillId="36" borderId="11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/>
    </xf>
    <xf numFmtId="14" fontId="6" fillId="37" borderId="11" xfId="0" applyNumberFormat="1" applyFont="1" applyFill="1" applyBorder="1" applyAlignment="1" applyProtection="1">
      <alignment horizontal="left" vertical="center"/>
      <protection locked="0"/>
    </xf>
    <xf numFmtId="0" fontId="6" fillId="37" borderId="11" xfId="0" applyFont="1" applyFill="1" applyBorder="1" applyAlignment="1" applyProtection="1">
      <alignment horizontal="left" vertical="center"/>
      <protection locked="0"/>
    </xf>
    <xf numFmtId="1" fontId="6" fillId="37" borderId="11" xfId="0" applyNumberFormat="1" applyFont="1" applyFill="1" applyBorder="1" applyAlignment="1" applyProtection="1">
      <alignment horizontal="left" vertical="center"/>
      <protection locked="0"/>
    </xf>
    <xf numFmtId="0" fontId="11" fillId="36" borderId="11" xfId="0" applyFont="1" applyFill="1" applyBorder="1" applyAlignment="1">
      <alignment horizontal="left" vertical="center"/>
    </xf>
    <xf numFmtId="0" fontId="3" fillId="34" borderId="35" xfId="0" applyFont="1" applyFill="1" applyBorder="1" applyAlignment="1">
      <alignment horizontal="center" wrapText="1"/>
    </xf>
    <xf numFmtId="0" fontId="29" fillId="39" borderId="11" xfId="0" applyFont="1" applyFill="1" applyBorder="1" applyAlignment="1" applyProtection="1">
      <alignment horizontal="left" vertical="center"/>
      <protection locked="0"/>
    </xf>
    <xf numFmtId="0" fontId="3" fillId="34" borderId="36" xfId="0" applyFont="1" applyFill="1" applyBorder="1" applyAlignment="1">
      <alignment horizontal="left"/>
    </xf>
    <xf numFmtId="0" fontId="7" fillId="38" borderId="11" xfId="0" applyFont="1" applyFill="1" applyBorder="1" applyAlignment="1">
      <alignment horizontal="center"/>
    </xf>
    <xf numFmtId="1" fontId="7" fillId="35" borderId="11" xfId="0" applyNumberFormat="1" applyFont="1" applyFill="1" applyBorder="1" applyAlignment="1" applyProtection="1">
      <alignment horizontal="right" vertical="center"/>
      <protection/>
    </xf>
    <xf numFmtId="2" fontId="6" fillId="37" borderId="11" xfId="0" applyNumberFormat="1" applyFont="1" applyFill="1" applyBorder="1" applyAlignment="1" applyProtection="1">
      <alignment horizontal="left" vertical="center"/>
      <protection locked="0"/>
    </xf>
    <xf numFmtId="0" fontId="7" fillId="34" borderId="11" xfId="0" applyFont="1" applyFill="1" applyBorder="1" applyAlignment="1">
      <alignment horizontal="center"/>
    </xf>
    <xf numFmtId="169" fontId="7" fillId="34" borderId="11" xfId="0" applyNumberFormat="1" applyFont="1" applyFill="1" applyBorder="1" applyAlignment="1">
      <alignment horizontal="center"/>
    </xf>
    <xf numFmtId="14" fontId="7" fillId="34" borderId="11" xfId="0" applyNumberFormat="1" applyFont="1" applyFill="1" applyBorder="1" applyAlignment="1">
      <alignment horizontal="center"/>
    </xf>
    <xf numFmtId="0" fontId="2" fillId="34" borderId="25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0" fillId="34" borderId="37" xfId="0" applyFont="1" applyFill="1" applyBorder="1" applyAlignment="1">
      <alignment/>
    </xf>
    <xf numFmtId="0" fontId="3" fillId="34" borderId="37" xfId="0" applyFont="1" applyFill="1" applyBorder="1" applyAlignment="1">
      <alignment/>
    </xf>
    <xf numFmtId="0" fontId="3" fillId="34" borderId="36" xfId="0" applyFont="1" applyFill="1" applyBorder="1" applyAlignment="1">
      <alignment/>
    </xf>
    <xf numFmtId="0" fontId="0" fillId="34" borderId="36" xfId="0" applyFill="1" applyBorder="1" applyAlignment="1">
      <alignment/>
    </xf>
    <xf numFmtId="0" fontId="3" fillId="34" borderId="38" xfId="0" applyFont="1" applyFill="1" applyBorder="1" applyAlignment="1">
      <alignment/>
    </xf>
    <xf numFmtId="0" fontId="2" fillId="34" borderId="39" xfId="0" applyFont="1" applyFill="1" applyBorder="1" applyAlignment="1">
      <alignment/>
    </xf>
    <xf numFmtId="0" fontId="7" fillId="34" borderId="36" xfId="0" applyFont="1" applyFill="1" applyBorder="1" applyAlignment="1">
      <alignment/>
    </xf>
    <xf numFmtId="0" fontId="8" fillId="34" borderId="37" xfId="0" applyFont="1" applyFill="1" applyBorder="1" applyAlignment="1">
      <alignment horizontal="left"/>
    </xf>
    <xf numFmtId="14" fontId="30" fillId="34" borderId="0" xfId="0" applyNumberFormat="1" applyFont="1" applyFill="1" applyBorder="1" applyAlignment="1">
      <alignment horizontal="right"/>
    </xf>
    <xf numFmtId="169" fontId="30" fillId="34" borderId="0" xfId="0" applyNumberFormat="1" applyFont="1" applyFill="1" applyBorder="1" applyAlignment="1">
      <alignment horizontal="center"/>
    </xf>
    <xf numFmtId="14" fontId="30" fillId="34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left"/>
    </xf>
    <xf numFmtId="0" fontId="3" fillId="34" borderId="39" xfId="0" applyFont="1" applyFill="1" applyBorder="1" applyAlignment="1">
      <alignment/>
    </xf>
    <xf numFmtId="0" fontId="2" fillId="34" borderId="37" xfId="0" applyFont="1" applyFill="1" applyBorder="1" applyAlignment="1">
      <alignment/>
    </xf>
    <xf numFmtId="0" fontId="2" fillId="34" borderId="36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3" fillId="34" borderId="40" xfId="0" applyFont="1" applyFill="1" applyBorder="1" applyAlignment="1">
      <alignment horizontal="center" wrapText="1"/>
    </xf>
    <xf numFmtId="0" fontId="0" fillId="34" borderId="37" xfId="0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0" fontId="2" fillId="34" borderId="36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 vertical="center"/>
    </xf>
    <xf numFmtId="0" fontId="3" fillId="34" borderId="33" xfId="0" applyFont="1" applyFill="1" applyBorder="1" applyAlignment="1">
      <alignment vertical="center"/>
    </xf>
    <xf numFmtId="0" fontId="3" fillId="40" borderId="33" xfId="0" applyFont="1" applyFill="1" applyBorder="1" applyAlignment="1">
      <alignment vertical="center"/>
    </xf>
    <xf numFmtId="0" fontId="9" fillId="34" borderId="37" xfId="0" applyFont="1" applyFill="1" applyBorder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0" fillId="34" borderId="36" xfId="0" applyFont="1" applyFill="1" applyBorder="1" applyAlignment="1">
      <alignment/>
    </xf>
    <xf numFmtId="0" fontId="6" fillId="34" borderId="37" xfId="0" applyFont="1" applyFill="1" applyBorder="1" applyAlignment="1">
      <alignment horizontal="left"/>
    </xf>
    <xf numFmtId="0" fontId="6" fillId="34" borderId="36" xfId="0" applyFont="1" applyFill="1" applyBorder="1" applyAlignment="1">
      <alignment horizontal="left"/>
    </xf>
    <xf numFmtId="0" fontId="7" fillId="34" borderId="37" xfId="0" applyFont="1" applyFill="1" applyBorder="1" applyAlignment="1">
      <alignment/>
    </xf>
    <xf numFmtId="0" fontId="7" fillId="34" borderId="37" xfId="0" applyFont="1" applyFill="1" applyBorder="1" applyAlignment="1">
      <alignment horizontal="left"/>
    </xf>
    <xf numFmtId="0" fontId="7" fillId="34" borderId="36" xfId="0" applyFont="1" applyFill="1" applyBorder="1" applyAlignment="1">
      <alignment horizontal="center"/>
    </xf>
    <xf numFmtId="0" fontId="3" fillId="34" borderId="37" xfId="0" applyFont="1" applyFill="1" applyBorder="1" applyAlignment="1">
      <alignment/>
    </xf>
    <xf numFmtId="0" fontId="3" fillId="34" borderId="36" xfId="0" applyFont="1" applyFill="1" applyBorder="1" applyAlignment="1">
      <alignment/>
    </xf>
    <xf numFmtId="0" fontId="8" fillId="34" borderId="36" xfId="0" applyFont="1" applyFill="1" applyBorder="1" applyAlignment="1">
      <alignment horizontal="left"/>
    </xf>
    <xf numFmtId="0" fontId="9" fillId="34" borderId="36" xfId="0" applyFont="1" applyFill="1" applyBorder="1" applyAlignment="1">
      <alignment horizontal="left"/>
    </xf>
    <xf numFmtId="0" fontId="7" fillId="34" borderId="36" xfId="0" applyFont="1" applyFill="1" applyBorder="1" applyAlignment="1">
      <alignment horizontal="left"/>
    </xf>
    <xf numFmtId="0" fontId="6" fillId="34" borderId="37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7" fillId="36" borderId="37" xfId="0" applyFont="1" applyFill="1" applyBorder="1" applyAlignment="1">
      <alignment horizontal="center"/>
    </xf>
    <xf numFmtId="14" fontId="7" fillId="36" borderId="0" xfId="0" applyNumberFormat="1" applyFont="1" applyFill="1" applyBorder="1" applyAlignment="1">
      <alignment horizontal="center"/>
    </xf>
    <xf numFmtId="0" fontId="7" fillId="36" borderId="36" xfId="0" applyFont="1" applyFill="1" applyBorder="1" applyAlignment="1">
      <alignment horizontal="left"/>
    </xf>
    <xf numFmtId="0" fontId="7" fillId="34" borderId="37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169" fontId="7" fillId="36" borderId="37" xfId="0" applyNumberFormat="1" applyFont="1" applyFill="1" applyBorder="1" applyAlignment="1">
      <alignment horizontal="center"/>
    </xf>
    <xf numFmtId="0" fontId="7" fillId="41" borderId="36" xfId="0" applyFont="1" applyFill="1" applyBorder="1" applyAlignment="1">
      <alignment horizontal="left"/>
    </xf>
    <xf numFmtId="0" fontId="7" fillId="42" borderId="36" xfId="0" applyFont="1" applyFill="1" applyBorder="1" applyAlignment="1">
      <alignment horizontal="left"/>
    </xf>
    <xf numFmtId="0" fontId="7" fillId="36" borderId="0" xfId="0" applyFont="1" applyFill="1" applyBorder="1" applyAlignment="1">
      <alignment horizontal="center"/>
    </xf>
    <xf numFmtId="0" fontId="12" fillId="34" borderId="36" xfId="0" applyFont="1" applyFill="1" applyBorder="1" applyAlignment="1">
      <alignment/>
    </xf>
    <xf numFmtId="0" fontId="7" fillId="34" borderId="36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vertical="center"/>
    </xf>
    <xf numFmtId="0" fontId="2" fillId="34" borderId="36" xfId="0" applyFont="1" applyFill="1" applyBorder="1" applyAlignment="1">
      <alignment vertical="center"/>
    </xf>
    <xf numFmtId="0" fontId="2" fillId="34" borderId="38" xfId="0" applyFont="1" applyFill="1" applyBorder="1" applyAlignment="1">
      <alignment/>
    </xf>
    <xf numFmtId="3" fontId="3" fillId="35" borderId="41" xfId="0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 horizontal="right" vertical="center" indent="1"/>
    </xf>
    <xf numFmtId="0" fontId="3" fillId="36" borderId="42" xfId="0" applyFont="1" applyFill="1" applyBorder="1" applyAlignment="1">
      <alignment horizontal="left" vertical="center"/>
    </xf>
    <xf numFmtId="0" fontId="3" fillId="36" borderId="33" xfId="0" applyFont="1" applyFill="1" applyBorder="1" applyAlignment="1">
      <alignment horizontal="left" vertical="center"/>
    </xf>
    <xf numFmtId="0" fontId="2" fillId="34" borderId="0" xfId="0" applyFont="1" applyFill="1" applyAlignment="1">
      <alignment vertical="center"/>
    </xf>
    <xf numFmtId="0" fontId="3" fillId="36" borderId="25" xfId="0" applyFont="1" applyFill="1" applyBorder="1" applyAlignment="1">
      <alignment horizontal="right" vertical="center" indent="1"/>
    </xf>
    <xf numFmtId="3" fontId="24" fillId="37" borderId="11" xfId="0" applyNumberFormat="1" applyFont="1" applyFill="1" applyBorder="1" applyAlignment="1" applyProtection="1">
      <alignment horizontal="center" vertical="center"/>
      <protection locked="0"/>
    </xf>
    <xf numFmtId="1" fontId="24" fillId="37" borderId="11" xfId="0" applyNumberFormat="1" applyFont="1" applyFill="1" applyBorder="1" applyAlignment="1" applyProtection="1">
      <alignment horizontal="center" vertical="center"/>
      <protection locked="0"/>
    </xf>
    <xf numFmtId="0" fontId="7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1" fontId="2" fillId="36" borderId="32" xfId="0" applyNumberFormat="1" applyFont="1" applyFill="1" applyBorder="1" applyAlignment="1">
      <alignment horizontal="center" vertical="center"/>
    </xf>
    <xf numFmtId="1" fontId="2" fillId="36" borderId="43" xfId="0" applyNumberFormat="1" applyFont="1" applyFill="1" applyBorder="1" applyAlignment="1">
      <alignment horizontal="center" vertical="center"/>
    </xf>
    <xf numFmtId="0" fontId="24" fillId="43" borderId="19" xfId="0" applyFont="1" applyFill="1" applyBorder="1" applyAlignment="1" applyProtection="1">
      <alignment horizontal="center" vertical="center"/>
      <protection locked="0"/>
    </xf>
    <xf numFmtId="0" fontId="24" fillId="43" borderId="20" xfId="0" applyFont="1" applyFill="1" applyBorder="1" applyAlignment="1" applyProtection="1">
      <alignment horizontal="center" vertical="center"/>
      <protection locked="0"/>
    </xf>
    <xf numFmtId="0" fontId="2" fillId="34" borderId="42" xfId="0" applyFont="1" applyFill="1" applyBorder="1" applyAlignment="1" applyProtection="1">
      <alignment horizontal="left" vertical="center"/>
      <protection locked="0"/>
    </xf>
    <xf numFmtId="0" fontId="2" fillId="34" borderId="42" xfId="0" applyFont="1" applyFill="1" applyBorder="1" applyAlignment="1" applyProtection="1">
      <alignment horizontal="right" vertical="center"/>
      <protection locked="0"/>
    </xf>
    <xf numFmtId="169" fontId="2" fillId="34" borderId="42" xfId="0" applyNumberFormat="1" applyFont="1" applyFill="1" applyBorder="1" applyAlignment="1" applyProtection="1">
      <alignment horizontal="right" vertical="center"/>
      <protection locked="0"/>
    </xf>
    <xf numFmtId="0" fontId="28" fillId="34" borderId="42" xfId="0" applyFont="1" applyFill="1" applyBorder="1" applyAlignment="1" applyProtection="1">
      <alignment horizontal="left" vertical="center"/>
      <protection locked="0"/>
    </xf>
    <xf numFmtId="0" fontId="28" fillId="34" borderId="42" xfId="0" applyFont="1" applyFill="1" applyBorder="1" applyAlignment="1" applyProtection="1">
      <alignment horizontal="right" vertical="center"/>
      <protection locked="0"/>
    </xf>
    <xf numFmtId="0" fontId="32" fillId="34" borderId="0" xfId="0" applyFont="1" applyFill="1" applyBorder="1" applyAlignment="1">
      <alignment vertical="center"/>
    </xf>
    <xf numFmtId="1" fontId="3" fillId="36" borderId="33" xfId="0" applyNumberFormat="1" applyFont="1" applyFill="1" applyBorder="1" applyAlignment="1">
      <alignment horizontal="center" vertical="center"/>
    </xf>
    <xf numFmtId="9" fontId="2" fillId="36" borderId="11" xfId="51" applyNumberFormat="1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vertical="center"/>
    </xf>
    <xf numFmtId="169" fontId="2" fillId="36" borderId="33" xfId="0" applyNumberFormat="1" applyFont="1" applyFill="1" applyBorder="1" applyAlignment="1">
      <alignment horizontal="center"/>
    </xf>
    <xf numFmtId="0" fontId="7" fillId="34" borderId="37" xfId="0" applyFont="1" applyFill="1" applyBorder="1" applyAlignment="1">
      <alignment/>
    </xf>
    <xf numFmtId="0" fontId="24" fillId="37" borderId="33" xfId="0" applyFont="1" applyFill="1" applyBorder="1" applyAlignment="1" applyProtection="1">
      <alignment horizontal="left" vertical="center"/>
      <protection locked="0"/>
    </xf>
    <xf numFmtId="0" fontId="7" fillId="36" borderId="0" xfId="0" applyFont="1" applyFill="1" applyAlignment="1">
      <alignment vertical="center"/>
    </xf>
    <xf numFmtId="0" fontId="7" fillId="36" borderId="0" xfId="0" applyFont="1" applyFill="1" applyAlignment="1">
      <alignment horizontal="left" vertical="center"/>
    </xf>
    <xf numFmtId="0" fontId="7" fillId="34" borderId="0" xfId="0" applyFont="1" applyFill="1" applyAlignment="1">
      <alignment vertical="center"/>
    </xf>
    <xf numFmtId="0" fontId="7" fillId="34" borderId="0" xfId="0" applyFont="1" applyFill="1" applyAlignment="1">
      <alignment horizontal="left" vertical="center"/>
    </xf>
    <xf numFmtId="0" fontId="11" fillId="36" borderId="0" xfId="0" applyFont="1" applyFill="1" applyAlignment="1">
      <alignment vertical="center"/>
    </xf>
    <xf numFmtId="0" fontId="13" fillId="34" borderId="0" xfId="0" applyFont="1" applyFill="1" applyAlignment="1">
      <alignment vertical="center"/>
    </xf>
    <xf numFmtId="0" fontId="7" fillId="36" borderId="0" xfId="0" applyFont="1" applyFill="1" applyBorder="1" applyAlignment="1">
      <alignment vertical="center"/>
    </xf>
    <xf numFmtId="0" fontId="7" fillId="36" borderId="0" xfId="0" applyFont="1" applyFill="1" applyBorder="1" applyAlignment="1">
      <alignment vertical="center"/>
    </xf>
    <xf numFmtId="0" fontId="7" fillId="36" borderId="0" xfId="0" applyFont="1" applyFill="1" applyAlignment="1">
      <alignment vertical="center"/>
    </xf>
    <xf numFmtId="0" fontId="12" fillId="34" borderId="0" xfId="0" applyFont="1" applyFill="1" applyAlignment="1">
      <alignment vertical="center"/>
    </xf>
    <xf numFmtId="0" fontId="3" fillId="34" borderId="0" xfId="0" applyFont="1" applyFill="1" applyBorder="1" applyAlignment="1">
      <alignment horizontal="center"/>
    </xf>
    <xf numFmtId="0" fontId="24" fillId="37" borderId="11" xfId="0" applyFont="1" applyFill="1" applyBorder="1" applyAlignment="1" applyProtection="1">
      <alignment horizontal="center" vertical="center"/>
      <protection locked="0"/>
    </xf>
    <xf numFmtId="1" fontId="2" fillId="44" borderId="11" xfId="0" applyNumberFormat="1" applyFont="1" applyFill="1" applyBorder="1" applyAlignment="1" applyProtection="1">
      <alignment horizontal="center" vertical="center"/>
      <protection/>
    </xf>
    <xf numFmtId="1" fontId="24" fillId="37" borderId="33" xfId="0" applyNumberFormat="1" applyFont="1" applyFill="1" applyBorder="1" applyAlignment="1" applyProtection="1">
      <alignment horizontal="right" vertical="center"/>
      <protection locked="0"/>
    </xf>
    <xf numFmtId="2" fontId="2" fillId="35" borderId="26" xfId="0" applyNumberFormat="1" applyFont="1" applyFill="1" applyBorder="1" applyAlignment="1">
      <alignment horizontal="center" vertical="center"/>
    </xf>
    <xf numFmtId="1" fontId="2" fillId="35" borderId="26" xfId="0" applyNumberFormat="1" applyFont="1" applyFill="1" applyBorder="1" applyAlignment="1">
      <alignment horizontal="right" vertical="center"/>
    </xf>
    <xf numFmtId="1" fontId="2" fillId="35" borderId="11" xfId="0" applyNumberFormat="1" applyFont="1" applyFill="1" applyBorder="1" applyAlignment="1">
      <alignment horizontal="right" vertical="center"/>
    </xf>
    <xf numFmtId="2" fontId="2" fillId="44" borderId="11" xfId="0" applyNumberFormat="1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1" fontId="24" fillId="37" borderId="11" xfId="0" applyNumberFormat="1" applyFont="1" applyFill="1" applyBorder="1" applyAlignment="1" applyProtection="1">
      <alignment horizontal="right" vertical="center"/>
      <protection locked="0"/>
    </xf>
    <xf numFmtId="2" fontId="2" fillId="38" borderId="11" xfId="0" applyNumberFormat="1" applyFont="1" applyFill="1" applyBorder="1" applyAlignment="1" applyProtection="1">
      <alignment horizontal="center" vertical="center"/>
      <protection/>
    </xf>
    <xf numFmtId="1" fontId="2" fillId="44" borderId="11" xfId="0" applyNumberFormat="1" applyFont="1" applyFill="1" applyBorder="1" applyAlignment="1" applyProtection="1">
      <alignment horizontal="right" vertical="center"/>
      <protection/>
    </xf>
    <xf numFmtId="2" fontId="3" fillId="35" borderId="11" xfId="0" applyNumberFormat="1" applyFont="1" applyFill="1" applyBorder="1" applyAlignment="1">
      <alignment horizontal="center" vertical="center"/>
    </xf>
    <xf numFmtId="1" fontId="3" fillId="35" borderId="11" xfId="0" applyNumberFormat="1" applyFont="1" applyFill="1" applyBorder="1" applyAlignment="1">
      <alignment horizontal="right" vertical="center"/>
    </xf>
    <xf numFmtId="0" fontId="7" fillId="38" borderId="11" xfId="0" applyFont="1" applyFill="1" applyBorder="1" applyAlignment="1">
      <alignment horizontal="center" vertical="center"/>
    </xf>
    <xf numFmtId="1" fontId="7" fillId="44" borderId="11" xfId="0" applyNumberFormat="1" applyFont="1" applyFill="1" applyBorder="1" applyAlignment="1" applyProtection="1">
      <alignment horizontal="right" vertical="center"/>
      <protection/>
    </xf>
    <xf numFmtId="0" fontId="7" fillId="44" borderId="11" xfId="0" applyFont="1" applyFill="1" applyBorder="1" applyAlignment="1" applyProtection="1">
      <alignment horizontal="right" vertical="center"/>
      <protection/>
    </xf>
    <xf numFmtId="1" fontId="7" fillId="36" borderId="11" xfId="0" applyNumberFormat="1" applyFont="1" applyFill="1" applyBorder="1" applyAlignment="1" applyProtection="1">
      <alignment horizontal="right" vertical="center"/>
      <protection/>
    </xf>
    <xf numFmtId="0" fontId="7" fillId="34" borderId="11" xfId="50" applyNumberFormat="1" applyFont="1" applyFill="1" applyBorder="1" applyAlignment="1" applyProtection="1">
      <alignment horizontal="center" vertical="center"/>
      <protection/>
    </xf>
    <xf numFmtId="0" fontId="35" fillId="45" borderId="0" xfId="45" applyFont="1" applyFill="1" applyAlignment="1" applyProtection="1">
      <alignment horizontal="left" vertical="center"/>
      <protection/>
    </xf>
    <xf numFmtId="0" fontId="3" fillId="34" borderId="36" xfId="0" applyFont="1" applyFill="1" applyBorder="1" applyAlignment="1">
      <alignment horizontal="center"/>
    </xf>
    <xf numFmtId="0" fontId="0" fillId="34" borderId="0" xfId="0" applyFont="1" applyFill="1" applyAlignment="1">
      <alignment vertical="center"/>
    </xf>
    <xf numFmtId="178" fontId="0" fillId="34" borderId="42" xfId="0" applyNumberFormat="1" applyFont="1" applyFill="1" applyBorder="1" applyAlignment="1">
      <alignment vertical="center"/>
    </xf>
    <xf numFmtId="1" fontId="3" fillId="34" borderId="42" xfId="0" applyNumberFormat="1" applyFont="1" applyFill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12" fillId="34" borderId="0" xfId="0" applyFont="1" applyFill="1" applyAlignment="1">
      <alignment horizontal="left" vertical="center"/>
    </xf>
    <xf numFmtId="0" fontId="7" fillId="45" borderId="0" xfId="0" applyFont="1" applyFill="1" applyAlignment="1">
      <alignment vertical="center"/>
    </xf>
    <xf numFmtId="0" fontId="22" fillId="36" borderId="0" xfId="45" applyFont="1" applyFill="1" applyAlignment="1" applyProtection="1">
      <alignment vertical="center"/>
      <protection/>
    </xf>
    <xf numFmtId="0" fontId="7" fillId="46" borderId="0" xfId="0" applyFont="1" applyFill="1" applyAlignment="1">
      <alignment horizontal="left" vertical="center"/>
    </xf>
    <xf numFmtId="0" fontId="7" fillId="34" borderId="0" xfId="0" applyFont="1" applyFill="1" applyAlignment="1">
      <alignment vertical="center"/>
    </xf>
    <xf numFmtId="0" fontId="3" fillId="34" borderId="37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36" xfId="0" applyFont="1" applyFill="1" applyBorder="1" applyAlignment="1">
      <alignment vertical="center"/>
    </xf>
    <xf numFmtId="3" fontId="3" fillId="37" borderId="11" xfId="0" applyNumberFormat="1" applyFont="1" applyFill="1" applyBorder="1" applyAlignment="1" applyProtection="1">
      <alignment horizontal="center"/>
      <protection locked="0"/>
    </xf>
    <xf numFmtId="3" fontId="3" fillId="37" borderId="32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Alignment="1">
      <alignment horizontal="right"/>
    </xf>
    <xf numFmtId="3" fontId="3" fillId="36" borderId="11" xfId="0" applyNumberFormat="1" applyFont="1" applyFill="1" applyBorder="1" applyAlignment="1">
      <alignment horizontal="center"/>
    </xf>
    <xf numFmtId="1" fontId="3" fillId="34" borderId="33" xfId="0" applyNumberFormat="1" applyFont="1" applyFill="1" applyBorder="1" applyAlignment="1">
      <alignment horizontal="center" vertical="center"/>
    </xf>
    <xf numFmtId="1" fontId="3" fillId="47" borderId="36" xfId="0" applyNumberFormat="1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>
      <alignment vertical="center"/>
    </xf>
    <xf numFmtId="0" fontId="8" fillId="34" borderId="36" xfId="0" applyFont="1" applyFill="1" applyBorder="1" applyAlignment="1">
      <alignment vertical="center"/>
    </xf>
    <xf numFmtId="0" fontId="40" fillId="34" borderId="0" xfId="0" applyFont="1" applyFill="1" applyBorder="1" applyAlignment="1">
      <alignment vertical="center"/>
    </xf>
    <xf numFmtId="169" fontId="30" fillId="34" borderId="0" xfId="0" applyNumberFormat="1" applyFont="1" applyFill="1" applyBorder="1" applyAlignment="1">
      <alignment horizontal="left" vertical="center"/>
    </xf>
    <xf numFmtId="0" fontId="3" fillId="37" borderId="11" xfId="0" applyNumberFormat="1" applyFont="1" applyFill="1" applyBorder="1" applyAlignment="1" applyProtection="1">
      <alignment horizontal="center"/>
      <protection locked="0"/>
    </xf>
    <xf numFmtId="0" fontId="3" fillId="37" borderId="39" xfId="0" applyFont="1" applyFill="1" applyBorder="1" applyAlignment="1" applyProtection="1">
      <alignment horizontal="center"/>
      <protection locked="0"/>
    </xf>
    <xf numFmtId="0" fontId="41" fillId="34" borderId="0" xfId="0" applyFont="1" applyFill="1" applyAlignment="1">
      <alignment horizontal="right"/>
    </xf>
    <xf numFmtId="14" fontId="7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34" fillId="34" borderId="36" xfId="45" applyFont="1" applyFill="1" applyBorder="1" applyAlignment="1" applyProtection="1">
      <alignment vertical="center"/>
      <protection/>
    </xf>
    <xf numFmtId="0" fontId="2" fillId="34" borderId="38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4" fillId="43" borderId="31" xfId="0" applyFont="1" applyFill="1" applyBorder="1" applyAlignment="1" applyProtection="1">
      <alignment horizontal="center" vertical="center"/>
      <protection locked="0"/>
    </xf>
    <xf numFmtId="1" fontId="2" fillId="36" borderId="38" xfId="0" applyNumberFormat="1" applyFont="1" applyFill="1" applyBorder="1" applyAlignment="1">
      <alignment horizontal="center" vertical="center"/>
    </xf>
    <xf numFmtId="0" fontId="2" fillId="38" borderId="28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2" fillId="48" borderId="23" xfId="0" applyFont="1" applyFill="1" applyBorder="1" applyAlignment="1">
      <alignment horizontal="center"/>
    </xf>
    <xf numFmtId="4" fontId="0" fillId="34" borderId="0" xfId="0" applyNumberFormat="1" applyFill="1" applyAlignment="1">
      <alignment/>
    </xf>
    <xf numFmtId="4" fontId="0" fillId="34" borderId="0" xfId="0" applyNumberFormat="1" applyFont="1" applyFill="1" applyAlignment="1">
      <alignment vertical="center"/>
    </xf>
    <xf numFmtId="4" fontId="0" fillId="34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1" fontId="2" fillId="34" borderId="0" xfId="0" applyNumberFormat="1" applyFont="1" applyFill="1" applyAlignment="1">
      <alignment/>
    </xf>
    <xf numFmtId="4" fontId="2" fillId="34" borderId="0" xfId="0" applyNumberFormat="1" applyFont="1" applyFill="1" applyAlignment="1">
      <alignment vertical="center"/>
    </xf>
    <xf numFmtId="1" fontId="2" fillId="34" borderId="0" xfId="0" applyNumberFormat="1" applyFont="1" applyFill="1" applyAlignment="1">
      <alignment vertical="center"/>
    </xf>
    <xf numFmtId="0" fontId="30" fillId="34" borderId="0" xfId="0" applyFont="1" applyFill="1" applyBorder="1" applyAlignment="1">
      <alignment/>
    </xf>
    <xf numFmtId="4" fontId="30" fillId="34" borderId="0" xfId="0" applyNumberFormat="1" applyFont="1" applyFill="1" applyBorder="1" applyAlignment="1">
      <alignment/>
    </xf>
    <xf numFmtId="0" fontId="30" fillId="34" borderId="0" xfId="0" applyFont="1" applyFill="1" applyAlignment="1">
      <alignment/>
    </xf>
    <xf numFmtId="4" fontId="30" fillId="34" borderId="0" xfId="0" applyNumberFormat="1" applyFont="1" applyFill="1" applyAlignment="1">
      <alignment/>
    </xf>
    <xf numFmtId="2" fontId="30" fillId="34" borderId="0" xfId="0" applyNumberFormat="1" applyFont="1" applyFill="1" applyAlignment="1">
      <alignment/>
    </xf>
    <xf numFmtId="1" fontId="30" fillId="34" borderId="0" xfId="0" applyNumberFormat="1" applyFont="1" applyFill="1" applyAlignment="1">
      <alignment/>
    </xf>
    <xf numFmtId="0" fontId="0" fillId="34" borderId="0" xfId="0" applyFont="1" applyFill="1" applyAlignment="1">
      <alignment horizontal="center"/>
    </xf>
    <xf numFmtId="4" fontId="0" fillId="34" borderId="0" xfId="0" applyNumberFormat="1" applyFont="1" applyFill="1" applyAlignment="1">
      <alignment horizontal="center"/>
    </xf>
    <xf numFmtId="1" fontId="0" fillId="34" borderId="0" xfId="0" applyNumberFormat="1" applyFont="1" applyFill="1" applyAlignment="1">
      <alignment/>
    </xf>
    <xf numFmtId="4" fontId="0" fillId="34" borderId="0" xfId="0" applyNumberFormat="1" applyFill="1" applyAlignment="1">
      <alignment/>
    </xf>
    <xf numFmtId="4" fontId="0" fillId="34" borderId="0" xfId="0" applyNumberFormat="1" applyFont="1" applyFill="1" applyAlignment="1">
      <alignment vertical="center"/>
    </xf>
    <xf numFmtId="0" fontId="9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/>
    </xf>
    <xf numFmtId="0" fontId="42" fillId="49" borderId="33" xfId="0" applyFont="1" applyFill="1" applyBorder="1" applyAlignment="1" applyProtection="1">
      <alignment horizontal="center" vertical="center"/>
      <protection locked="0"/>
    </xf>
    <xf numFmtId="203" fontId="2" fillId="36" borderId="11" xfId="0" applyNumberFormat="1" applyFont="1" applyFill="1" applyBorder="1" applyAlignment="1">
      <alignment horizontal="center"/>
    </xf>
    <xf numFmtId="203" fontId="2" fillId="36" borderId="18" xfId="0" applyNumberFormat="1" applyFont="1" applyFill="1" applyBorder="1" applyAlignment="1">
      <alignment horizontal="center"/>
    </xf>
    <xf numFmtId="203" fontId="2" fillId="36" borderId="19" xfId="0" applyNumberFormat="1" applyFont="1" applyFill="1" applyBorder="1" applyAlignment="1">
      <alignment horizontal="center"/>
    </xf>
    <xf numFmtId="203" fontId="2" fillId="36" borderId="3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36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left"/>
    </xf>
    <xf numFmtId="0" fontId="7" fillId="34" borderId="0" xfId="0" applyFont="1" applyFill="1" applyBorder="1" applyAlignment="1" quotePrefix="1">
      <alignment horizontal="left"/>
    </xf>
    <xf numFmtId="0" fontId="22" fillId="34" borderId="0" xfId="45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>
      <alignment/>
    </xf>
    <xf numFmtId="0" fontId="38" fillId="34" borderId="0" xfId="0" applyFont="1" applyFill="1" applyAlignment="1">
      <alignment vertical="center"/>
    </xf>
    <xf numFmtId="0" fontId="0" fillId="34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left" vertical="center"/>
    </xf>
    <xf numFmtId="3" fontId="0" fillId="34" borderId="0" xfId="0" applyNumberFormat="1" applyFont="1" applyFill="1" applyBorder="1" applyAlignment="1">
      <alignment horizontal="center"/>
    </xf>
    <xf numFmtId="3" fontId="0" fillId="34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 wrapText="1"/>
    </xf>
    <xf numFmtId="1" fontId="2" fillId="34" borderId="0" xfId="0" applyNumberFormat="1" applyFont="1" applyFill="1" applyAlignment="1">
      <alignment/>
    </xf>
    <xf numFmtId="199" fontId="2" fillId="34" borderId="0" xfId="0" applyNumberFormat="1" applyFont="1" applyFill="1" applyAlignment="1">
      <alignment/>
    </xf>
    <xf numFmtId="0" fontId="2" fillId="34" borderId="0" xfId="0" applyFont="1" applyFill="1" applyAlignment="1">
      <alignment vertical="center"/>
    </xf>
    <xf numFmtId="199" fontId="2" fillId="34" borderId="0" xfId="0" applyNumberFormat="1" applyFont="1" applyFill="1" applyAlignment="1">
      <alignment vertical="center"/>
    </xf>
    <xf numFmtId="204" fontId="7" fillId="34" borderId="37" xfId="58" applyNumberFormat="1" applyFont="1" applyFill="1" applyBorder="1" applyAlignment="1">
      <alignment horizontal="center"/>
    </xf>
    <xf numFmtId="0" fontId="3" fillId="34" borderId="45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2" fillId="34" borderId="36" xfId="0" applyFont="1" applyFill="1" applyBorder="1" applyAlignment="1">
      <alignment horizontal="right"/>
    </xf>
    <xf numFmtId="0" fontId="3" fillId="34" borderId="47" xfId="0" applyFont="1" applyFill="1" applyBorder="1" applyAlignment="1">
      <alignment horizontal="left"/>
    </xf>
    <xf numFmtId="0" fontId="3" fillId="34" borderId="45" xfId="0" applyFont="1" applyFill="1" applyBorder="1" applyAlignment="1">
      <alignment horizontal="left"/>
    </xf>
    <xf numFmtId="0" fontId="25" fillId="49" borderId="32" xfId="0" applyFont="1" applyFill="1" applyBorder="1" applyAlignment="1" applyProtection="1">
      <alignment/>
      <protection locked="0"/>
    </xf>
    <xf numFmtId="0" fontId="25" fillId="49" borderId="42" xfId="0" applyFont="1" applyFill="1" applyBorder="1" applyAlignment="1" applyProtection="1">
      <alignment/>
      <protection locked="0"/>
    </xf>
    <xf numFmtId="0" fontId="25" fillId="49" borderId="33" xfId="0" applyFont="1" applyFill="1" applyBorder="1" applyAlignment="1" applyProtection="1">
      <alignment/>
      <protection locked="0"/>
    </xf>
    <xf numFmtId="0" fontId="2" fillId="34" borderId="32" xfId="0" applyFont="1" applyFill="1" applyBorder="1" applyAlignment="1" applyProtection="1">
      <alignment horizontal="center"/>
      <protection/>
    </xf>
    <xf numFmtId="0" fontId="2" fillId="34" borderId="33" xfId="0" applyFont="1" applyFill="1" applyBorder="1" applyAlignment="1" applyProtection="1">
      <alignment horizontal="center"/>
      <protection/>
    </xf>
    <xf numFmtId="0" fontId="2" fillId="34" borderId="37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4" fillId="37" borderId="32" xfId="0" applyFont="1" applyFill="1" applyBorder="1" applyAlignment="1" applyProtection="1">
      <alignment horizontal="left" vertical="center"/>
      <protection locked="0"/>
    </xf>
    <xf numFmtId="0" fontId="24" fillId="37" borderId="42" xfId="0" applyFont="1" applyFill="1" applyBorder="1" applyAlignment="1" applyProtection="1">
      <alignment horizontal="left" vertical="center"/>
      <protection locked="0"/>
    </xf>
    <xf numFmtId="0" fontId="24" fillId="37" borderId="33" xfId="0" applyFont="1" applyFill="1" applyBorder="1" applyAlignment="1" applyProtection="1">
      <alignment horizontal="left" vertical="center"/>
      <protection locked="0"/>
    </xf>
    <xf numFmtId="0" fontId="3" fillId="34" borderId="32" xfId="0" applyFont="1" applyFill="1" applyBorder="1" applyAlignment="1">
      <alignment horizontal="left"/>
    </xf>
    <xf numFmtId="0" fontId="3" fillId="34" borderId="42" xfId="0" applyFont="1" applyFill="1" applyBorder="1" applyAlignment="1">
      <alignment horizontal="left"/>
    </xf>
    <xf numFmtId="0" fontId="3" fillId="34" borderId="33" xfId="0" applyFont="1" applyFill="1" applyBorder="1" applyAlignment="1">
      <alignment horizontal="left"/>
    </xf>
    <xf numFmtId="0" fontId="0" fillId="34" borderId="37" xfId="0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/>
    </xf>
    <xf numFmtId="0" fontId="3" fillId="34" borderId="50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14" fontId="2" fillId="34" borderId="13" xfId="0" applyNumberFormat="1" applyFont="1" applyFill="1" applyBorder="1" applyAlignment="1">
      <alignment horizontal="right"/>
    </xf>
    <xf numFmtId="14" fontId="2" fillId="34" borderId="12" xfId="0" applyNumberFormat="1" applyFont="1" applyFill="1" applyBorder="1" applyAlignment="1">
      <alignment horizontal="right"/>
    </xf>
    <xf numFmtId="14" fontId="34" fillId="34" borderId="0" xfId="45" applyNumberFormat="1" applyFont="1" applyFill="1" applyBorder="1" applyAlignment="1" applyProtection="1">
      <alignment horizontal="center" vertical="center"/>
      <protection/>
    </xf>
    <xf numFmtId="14" fontId="34" fillId="34" borderId="12" xfId="45" applyNumberFormat="1" applyFont="1" applyFill="1" applyBorder="1" applyAlignment="1" applyProtection="1">
      <alignment horizontal="center" vertical="center"/>
      <protection/>
    </xf>
    <xf numFmtId="0" fontId="2" fillId="34" borderId="52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3" fontId="2" fillId="38" borderId="42" xfId="0" applyNumberFormat="1" applyFont="1" applyFill="1" applyBorder="1" applyAlignment="1">
      <alignment horizontal="center"/>
    </xf>
    <xf numFmtId="3" fontId="2" fillId="38" borderId="33" xfId="0" applyNumberFormat="1" applyFont="1" applyFill="1" applyBorder="1" applyAlignment="1">
      <alignment horizontal="center"/>
    </xf>
    <xf numFmtId="0" fontId="2" fillId="34" borderId="32" xfId="0" applyFont="1" applyFill="1" applyBorder="1" applyAlignment="1">
      <alignment horizontal="right"/>
    </xf>
    <xf numFmtId="0" fontId="2" fillId="34" borderId="42" xfId="0" applyFont="1" applyFill="1" applyBorder="1" applyAlignment="1">
      <alignment horizontal="right"/>
    </xf>
    <xf numFmtId="0" fontId="2" fillId="34" borderId="33" xfId="0" applyFont="1" applyFill="1" applyBorder="1" applyAlignment="1">
      <alignment horizontal="right"/>
    </xf>
    <xf numFmtId="0" fontId="3" fillId="34" borderId="32" xfId="0" applyFont="1" applyFill="1" applyBorder="1" applyAlignment="1">
      <alignment horizontal="right" vertical="center"/>
    </xf>
    <xf numFmtId="0" fontId="3" fillId="34" borderId="42" xfId="0" applyFont="1" applyFill="1" applyBorder="1" applyAlignment="1">
      <alignment horizontal="right" vertical="center"/>
    </xf>
    <xf numFmtId="1" fontId="2" fillId="38" borderId="32" xfId="0" applyNumberFormat="1" applyFont="1" applyFill="1" applyBorder="1" applyAlignment="1">
      <alignment horizontal="center"/>
    </xf>
    <xf numFmtId="1" fontId="2" fillId="38" borderId="42" xfId="0" applyNumberFormat="1" applyFont="1" applyFill="1" applyBorder="1" applyAlignment="1">
      <alignment horizontal="center"/>
    </xf>
    <xf numFmtId="1" fontId="2" fillId="38" borderId="33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41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3" fillId="34" borderId="25" xfId="0" applyFont="1" applyFill="1" applyBorder="1" applyAlignment="1">
      <alignment horizontal="left" vertical="center"/>
    </xf>
    <xf numFmtId="20" fontId="25" fillId="37" borderId="11" xfId="0" applyNumberFormat="1" applyFont="1" applyFill="1" applyBorder="1" applyAlignment="1" applyProtection="1">
      <alignment horizontal="right" vertical="center" indent="1"/>
      <protection locked="0"/>
    </xf>
    <xf numFmtId="0" fontId="25" fillId="40" borderId="11" xfId="0" applyFont="1" applyFill="1" applyBorder="1" applyAlignment="1" applyProtection="1">
      <alignment horizontal="right" vertical="center" indent="1"/>
      <protection locked="0"/>
    </xf>
    <xf numFmtId="0" fontId="3" fillId="34" borderId="38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25" fillId="37" borderId="11" xfId="0" applyFont="1" applyFill="1" applyBorder="1" applyAlignment="1" applyProtection="1">
      <alignment horizontal="right" vertical="center" indent="1"/>
      <protection locked="0"/>
    </xf>
    <xf numFmtId="0" fontId="3" fillId="37" borderId="32" xfId="0" applyFont="1" applyFill="1" applyBorder="1" applyAlignment="1">
      <alignment horizontal="left" vertical="center"/>
    </xf>
    <xf numFmtId="0" fontId="3" fillId="37" borderId="33" xfId="0" applyFont="1" applyFill="1" applyBorder="1" applyAlignment="1">
      <alignment horizontal="left" vertical="center"/>
    </xf>
    <xf numFmtId="0" fontId="3" fillId="34" borderId="32" xfId="0" applyFont="1" applyFill="1" applyBorder="1" applyAlignment="1">
      <alignment horizontal="left" vertical="center"/>
    </xf>
    <xf numFmtId="0" fontId="3" fillId="34" borderId="33" xfId="0" applyFont="1" applyFill="1" applyBorder="1" applyAlignment="1">
      <alignment horizontal="left" vertical="center"/>
    </xf>
    <xf numFmtId="0" fontId="25" fillId="37" borderId="11" xfId="0" applyNumberFormat="1" applyFont="1" applyFill="1" applyBorder="1" applyAlignment="1" applyProtection="1">
      <alignment horizontal="right" vertical="center" indent="1"/>
      <protection locked="0"/>
    </xf>
    <xf numFmtId="20" fontId="25" fillId="40" borderId="11" xfId="0" applyNumberFormat="1" applyFont="1" applyFill="1" applyBorder="1" applyAlignment="1" applyProtection="1">
      <alignment horizontal="right" vertical="center" indent="1"/>
      <protection locked="0"/>
    </xf>
    <xf numFmtId="3" fontId="2" fillId="36" borderId="32" xfId="0" applyNumberFormat="1" applyFont="1" applyFill="1" applyBorder="1" applyAlignment="1" applyProtection="1">
      <alignment horizontal="right" vertical="center"/>
      <protection/>
    </xf>
    <xf numFmtId="3" fontId="2" fillId="36" borderId="33" xfId="0" applyNumberFormat="1" applyFont="1" applyFill="1" applyBorder="1" applyAlignment="1" applyProtection="1">
      <alignment horizontal="right" vertical="center"/>
      <protection/>
    </xf>
    <xf numFmtId="0" fontId="0" fillId="34" borderId="38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39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2" fillId="34" borderId="36" xfId="0" applyFont="1" applyFill="1" applyBorder="1" applyAlignment="1">
      <alignment horizontal="left"/>
    </xf>
    <xf numFmtId="0" fontId="3" fillId="40" borderId="32" xfId="0" applyFont="1" applyFill="1" applyBorder="1" applyAlignment="1" applyProtection="1">
      <alignment horizontal="left" vertical="center"/>
      <protection locked="0"/>
    </xf>
    <xf numFmtId="0" fontId="3" fillId="40" borderId="42" xfId="0" applyFont="1" applyFill="1" applyBorder="1" applyAlignment="1" applyProtection="1">
      <alignment horizontal="left" vertical="center"/>
      <protection locked="0"/>
    </xf>
    <xf numFmtId="0" fontId="3" fillId="36" borderId="11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/>
    </xf>
    <xf numFmtId="0" fontId="24" fillId="37" borderId="26" xfId="0" applyFont="1" applyFill="1" applyBorder="1" applyAlignment="1" applyProtection="1">
      <alignment horizontal="left" vertical="center"/>
      <protection locked="0"/>
    </xf>
    <xf numFmtId="0" fontId="3" fillId="34" borderId="11" xfId="0" applyFont="1" applyFill="1" applyBorder="1" applyAlignment="1">
      <alignment horizontal="center" wrapText="1"/>
    </xf>
    <xf numFmtId="0" fontId="25" fillId="49" borderId="37" xfId="0" applyFont="1" applyFill="1" applyBorder="1" applyAlignment="1" applyProtection="1">
      <alignment horizontal="center"/>
      <protection/>
    </xf>
    <xf numFmtId="0" fontId="25" fillId="49" borderId="0" xfId="0" applyFont="1" applyFill="1" applyBorder="1" applyAlignment="1" applyProtection="1">
      <alignment horizontal="center"/>
      <protection/>
    </xf>
    <xf numFmtId="0" fontId="25" fillId="49" borderId="36" xfId="0" applyFont="1" applyFill="1" applyBorder="1" applyAlignment="1" applyProtection="1">
      <alignment horizontal="center"/>
      <protection/>
    </xf>
    <xf numFmtId="0" fontId="0" fillId="34" borderId="41" xfId="0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top"/>
    </xf>
    <xf numFmtId="0" fontId="0" fillId="34" borderId="25" xfId="0" applyFont="1" applyFill="1" applyBorder="1" applyAlignment="1">
      <alignment horizontal="left" vertical="top"/>
    </xf>
    <xf numFmtId="178" fontId="2" fillId="34" borderId="32" xfId="0" applyNumberFormat="1" applyFont="1" applyFill="1" applyBorder="1" applyAlignment="1">
      <alignment horizontal="right" vertical="center"/>
    </xf>
    <xf numFmtId="178" fontId="2" fillId="34" borderId="42" xfId="0" applyNumberFormat="1" applyFont="1" applyFill="1" applyBorder="1" applyAlignment="1">
      <alignment horizontal="right" vertical="center"/>
    </xf>
    <xf numFmtId="178" fontId="0" fillId="34" borderId="32" xfId="0" applyNumberFormat="1" applyFont="1" applyFill="1" applyBorder="1" applyAlignment="1">
      <alignment horizontal="center" vertical="center"/>
    </xf>
    <xf numFmtId="178" fontId="0" fillId="34" borderId="33" xfId="0" applyNumberFormat="1" applyFont="1" applyFill="1" applyBorder="1" applyAlignment="1">
      <alignment horizontal="center" vertical="center"/>
    </xf>
    <xf numFmtId="0" fontId="24" fillId="37" borderId="11" xfId="0" applyFont="1" applyFill="1" applyBorder="1" applyAlignment="1" applyProtection="1">
      <alignment horizontal="left" vertical="center"/>
      <protection locked="0"/>
    </xf>
    <xf numFmtId="0" fontId="3" fillId="34" borderId="11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37" xfId="0" applyFont="1" applyFill="1" applyBorder="1" applyAlignment="1">
      <alignment horizontal="center" wrapText="1"/>
    </xf>
    <xf numFmtId="0" fontId="3" fillId="34" borderId="36" xfId="0" applyFont="1" applyFill="1" applyBorder="1" applyAlignment="1">
      <alignment horizontal="center" wrapText="1"/>
    </xf>
    <xf numFmtId="0" fontId="3" fillId="34" borderId="38" xfId="0" applyFont="1" applyFill="1" applyBorder="1" applyAlignment="1">
      <alignment horizontal="center" wrapText="1"/>
    </xf>
    <xf numFmtId="0" fontId="3" fillId="34" borderId="39" xfId="0" applyFont="1" applyFill="1" applyBorder="1" applyAlignment="1">
      <alignment horizontal="center" wrapText="1"/>
    </xf>
    <xf numFmtId="170" fontId="2" fillId="38" borderId="32" xfId="0" applyNumberFormat="1" applyFont="1" applyFill="1" applyBorder="1" applyAlignment="1" applyProtection="1">
      <alignment horizontal="center" vertical="center"/>
      <protection/>
    </xf>
    <xf numFmtId="170" fontId="2" fillId="38" borderId="33" xfId="0" applyNumberFormat="1" applyFont="1" applyFill="1" applyBorder="1" applyAlignment="1" applyProtection="1">
      <alignment horizontal="center" vertical="center"/>
      <protection/>
    </xf>
    <xf numFmtId="170" fontId="2" fillId="38" borderId="32" xfId="0" applyNumberFormat="1" applyFont="1" applyFill="1" applyBorder="1" applyAlignment="1" applyProtection="1">
      <alignment horizontal="right" vertical="center"/>
      <protection/>
    </xf>
    <xf numFmtId="170" fontId="2" fillId="38" borderId="33" xfId="0" applyNumberFormat="1" applyFont="1" applyFill="1" applyBorder="1" applyAlignment="1" applyProtection="1">
      <alignment horizontal="right" vertical="center"/>
      <protection/>
    </xf>
    <xf numFmtId="168" fontId="3" fillId="40" borderId="42" xfId="0" applyNumberFormat="1" applyFont="1" applyFill="1" applyBorder="1" applyAlignment="1" applyProtection="1">
      <alignment horizontal="right" vertical="center" indent="1"/>
      <protection locked="0"/>
    </xf>
    <xf numFmtId="168" fontId="3" fillId="37" borderId="42" xfId="0" applyNumberFormat="1" applyFont="1" applyFill="1" applyBorder="1" applyAlignment="1" applyProtection="1">
      <alignment horizontal="right" vertical="center" indent="1"/>
      <protection locked="0"/>
    </xf>
    <xf numFmtId="0" fontId="3" fillId="37" borderId="32" xfId="0" applyFont="1" applyFill="1" applyBorder="1" applyAlignment="1" applyProtection="1">
      <alignment horizontal="left" vertical="center"/>
      <protection locked="0"/>
    </xf>
    <xf numFmtId="0" fontId="3" fillId="37" borderId="42" xfId="0" applyFont="1" applyFill="1" applyBorder="1" applyAlignment="1" applyProtection="1">
      <alignment horizontal="left" vertical="center"/>
      <protection locked="0"/>
    </xf>
    <xf numFmtId="0" fontId="3" fillId="40" borderId="32" xfId="0" applyFont="1" applyFill="1" applyBorder="1" applyAlignment="1">
      <alignment horizontal="left" vertical="center"/>
    </xf>
    <xf numFmtId="0" fontId="3" fillId="40" borderId="33" xfId="0" applyFont="1" applyFill="1" applyBorder="1" applyAlignment="1">
      <alignment horizontal="left" vertical="center"/>
    </xf>
    <xf numFmtId="0" fontId="3" fillId="37" borderId="32" xfId="0" applyFont="1" applyFill="1" applyBorder="1" applyAlignment="1" applyProtection="1">
      <alignment vertical="center"/>
      <protection locked="0"/>
    </xf>
    <xf numFmtId="0" fontId="3" fillId="37" borderId="42" xfId="0" applyFont="1" applyFill="1" applyBorder="1" applyAlignment="1" applyProtection="1">
      <alignment vertical="center"/>
      <protection locked="0"/>
    </xf>
    <xf numFmtId="0" fontId="3" fillId="40" borderId="32" xfId="0" applyFont="1" applyFill="1" applyBorder="1" applyAlignment="1" applyProtection="1">
      <alignment vertical="center"/>
      <protection locked="0"/>
    </xf>
    <xf numFmtId="0" fontId="3" fillId="40" borderId="42" xfId="0" applyFont="1" applyFill="1" applyBorder="1" applyAlignment="1" applyProtection="1">
      <alignment vertical="center"/>
      <protection locked="0"/>
    </xf>
    <xf numFmtId="0" fontId="3" fillId="34" borderId="53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/>
    </xf>
    <xf numFmtId="0" fontId="3" fillId="34" borderId="36" xfId="0" applyFont="1" applyFill="1" applyBorder="1" applyAlignment="1">
      <alignment horizontal="left"/>
    </xf>
    <xf numFmtId="0" fontId="0" fillId="0" borderId="33" xfId="0" applyBorder="1" applyAlignment="1">
      <alignment horizontal="left" vertical="center"/>
    </xf>
    <xf numFmtId="0" fontId="0" fillId="0" borderId="42" xfId="0" applyBorder="1" applyAlignment="1" applyProtection="1">
      <alignment horizontal="left" vertical="center"/>
      <protection locked="0"/>
    </xf>
    <xf numFmtId="0" fontId="2" fillId="36" borderId="42" xfId="0" applyFont="1" applyFill="1" applyBorder="1" applyAlignment="1">
      <alignment horizontal="left" vertical="center"/>
    </xf>
    <xf numFmtId="0" fontId="2" fillId="36" borderId="33" xfId="0" applyFont="1" applyFill="1" applyBorder="1" applyAlignment="1">
      <alignment horizontal="left" vertical="center"/>
    </xf>
    <xf numFmtId="0" fontId="2" fillId="36" borderId="32" xfId="0" applyFont="1" applyFill="1" applyBorder="1" applyAlignment="1">
      <alignment horizontal="right" vertical="center"/>
    </xf>
    <xf numFmtId="0" fontId="2" fillId="36" borderId="42" xfId="0" applyFont="1" applyFill="1" applyBorder="1" applyAlignment="1">
      <alignment horizontal="right" vertical="center"/>
    </xf>
    <xf numFmtId="0" fontId="2" fillId="36" borderId="33" xfId="0" applyFont="1" applyFill="1" applyBorder="1" applyAlignment="1">
      <alignment horizontal="right" vertical="center"/>
    </xf>
    <xf numFmtId="0" fontId="3" fillId="34" borderId="4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2" fillId="36" borderId="32" xfId="0" applyFont="1" applyFill="1" applyBorder="1" applyAlignment="1" applyProtection="1">
      <alignment horizontal="right" vertical="center"/>
      <protection/>
    </xf>
    <xf numFmtId="0" fontId="2" fillId="36" borderId="42" xfId="0" applyFont="1" applyFill="1" applyBorder="1" applyAlignment="1" applyProtection="1">
      <alignment horizontal="right" vertical="center"/>
      <protection/>
    </xf>
    <xf numFmtId="0" fontId="3" fillId="34" borderId="33" xfId="0" applyFont="1" applyFill="1" applyBorder="1" applyAlignment="1">
      <alignment horizontal="center"/>
    </xf>
    <xf numFmtId="2" fontId="2" fillId="36" borderId="32" xfId="0" applyNumberFormat="1" applyFont="1" applyFill="1" applyBorder="1" applyAlignment="1" applyProtection="1">
      <alignment horizontal="right" vertical="center"/>
      <protection/>
    </xf>
    <xf numFmtId="2" fontId="2" fillId="36" borderId="42" xfId="0" applyNumberFormat="1" applyFont="1" applyFill="1" applyBorder="1" applyAlignment="1" applyProtection="1">
      <alignment horizontal="right" vertical="center"/>
      <protection/>
    </xf>
    <xf numFmtId="0" fontId="2" fillId="34" borderId="0" xfId="0" applyFont="1" applyFill="1" applyBorder="1" applyAlignment="1">
      <alignment horizontal="right" indent="1"/>
    </xf>
    <xf numFmtId="0" fontId="2" fillId="34" borderId="4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6" xfId="0" applyBorder="1" applyAlignment="1">
      <alignment horizontal="left"/>
    </xf>
    <xf numFmtId="0" fontId="3" fillId="34" borderId="38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/>
    </xf>
    <xf numFmtId="0" fontId="8" fillId="34" borderId="37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14" fontId="30" fillId="34" borderId="0" xfId="0" applyNumberFormat="1" applyFont="1" applyFill="1" applyBorder="1" applyAlignment="1">
      <alignment horizontal="center"/>
    </xf>
    <xf numFmtId="14" fontId="30" fillId="34" borderId="36" xfId="0" applyNumberFormat="1" applyFont="1" applyFill="1" applyBorder="1" applyAlignment="1">
      <alignment horizontal="center"/>
    </xf>
    <xf numFmtId="0" fontId="9" fillId="34" borderId="37" xfId="0" applyFont="1" applyFill="1" applyBorder="1" applyAlignment="1">
      <alignment horizontal="left" vertical="center"/>
    </xf>
    <xf numFmtId="0" fontId="9" fillId="34" borderId="0" xfId="0" applyFont="1" applyFill="1" applyBorder="1" applyAlignment="1">
      <alignment horizontal="left" vertical="center"/>
    </xf>
    <xf numFmtId="169" fontId="2" fillId="36" borderId="32" xfId="0" applyNumberFormat="1" applyFont="1" applyFill="1" applyBorder="1" applyAlignment="1" applyProtection="1">
      <alignment horizontal="right"/>
      <protection/>
    </xf>
    <xf numFmtId="169" fontId="2" fillId="36" borderId="42" xfId="0" applyNumberFormat="1" applyFont="1" applyFill="1" applyBorder="1" applyAlignment="1" applyProtection="1">
      <alignment horizontal="right"/>
      <protection/>
    </xf>
    <xf numFmtId="0" fontId="2" fillId="36" borderId="42" xfId="0" applyFont="1" applyFill="1" applyBorder="1" applyAlignment="1">
      <alignment horizontal="left"/>
    </xf>
    <xf numFmtId="0" fontId="2" fillId="36" borderId="33" xfId="0" applyFont="1" applyFill="1" applyBorder="1" applyAlignment="1">
      <alignment horizontal="left"/>
    </xf>
    <xf numFmtId="0" fontId="3" fillId="36" borderId="32" xfId="0" applyFont="1" applyFill="1" applyBorder="1" applyAlignment="1">
      <alignment horizontal="right" vertical="center"/>
    </xf>
    <xf numFmtId="0" fontId="3" fillId="36" borderId="42" xfId="0" applyFont="1" applyFill="1" applyBorder="1" applyAlignment="1">
      <alignment horizontal="right" vertical="center"/>
    </xf>
    <xf numFmtId="0" fontId="3" fillId="36" borderId="33" xfId="0" applyFont="1" applyFill="1" applyBorder="1" applyAlignment="1">
      <alignment horizontal="right" vertical="center"/>
    </xf>
    <xf numFmtId="1" fontId="3" fillId="36" borderId="32" xfId="0" applyNumberFormat="1" applyFont="1" applyFill="1" applyBorder="1" applyAlignment="1" applyProtection="1">
      <alignment horizontal="left" vertical="center" indent="1"/>
      <protection/>
    </xf>
    <xf numFmtId="1" fontId="3" fillId="36" borderId="42" xfId="0" applyNumberFormat="1" applyFont="1" applyFill="1" applyBorder="1" applyAlignment="1" applyProtection="1">
      <alignment horizontal="left" vertical="center" indent="1"/>
      <protection/>
    </xf>
    <xf numFmtId="1" fontId="2" fillId="36" borderId="32" xfId="0" applyNumberFormat="1" applyFont="1" applyFill="1" applyBorder="1" applyAlignment="1" applyProtection="1">
      <alignment horizontal="right"/>
      <protection/>
    </xf>
    <xf numFmtId="1" fontId="2" fillId="36" borderId="42" xfId="0" applyNumberFormat="1" applyFont="1" applyFill="1" applyBorder="1" applyAlignment="1" applyProtection="1">
      <alignment horizontal="right"/>
      <protection/>
    </xf>
    <xf numFmtId="0" fontId="0" fillId="0" borderId="42" xfId="0" applyBorder="1" applyAlignment="1">
      <alignment horizontal="left" vertical="center"/>
    </xf>
    <xf numFmtId="0" fontId="6" fillId="34" borderId="32" xfId="0" applyFont="1" applyFill="1" applyBorder="1" applyAlignment="1">
      <alignment horizontal="left" vertical="center"/>
    </xf>
    <xf numFmtId="0" fontId="6" fillId="34" borderId="42" xfId="0" applyFont="1" applyFill="1" applyBorder="1" applyAlignment="1">
      <alignment horizontal="left" vertical="center"/>
    </xf>
    <xf numFmtId="0" fontId="3" fillId="37" borderId="41" xfId="0" applyFont="1" applyFill="1" applyBorder="1" applyAlignment="1">
      <alignment horizontal="left" vertical="center"/>
    </xf>
    <xf numFmtId="0" fontId="3" fillId="37" borderId="25" xfId="0" applyFont="1" applyFill="1" applyBorder="1" applyAlignment="1">
      <alignment horizontal="left" vertical="center"/>
    </xf>
    <xf numFmtId="0" fontId="3" fillId="40" borderId="11" xfId="0" applyFont="1" applyFill="1" applyBorder="1" applyAlignment="1">
      <alignment horizontal="left" vertical="center"/>
    </xf>
    <xf numFmtId="0" fontId="3" fillId="40" borderId="41" xfId="0" applyFont="1" applyFill="1" applyBorder="1" applyAlignment="1">
      <alignment horizontal="left" vertical="center"/>
    </xf>
    <xf numFmtId="0" fontId="3" fillId="40" borderId="25" xfId="0" applyFont="1" applyFill="1" applyBorder="1" applyAlignment="1">
      <alignment horizontal="left" vertical="center"/>
    </xf>
    <xf numFmtId="0" fontId="7" fillId="34" borderId="38" xfId="0" applyFont="1" applyFill="1" applyBorder="1" applyAlignment="1">
      <alignment horizontal="left"/>
    </xf>
    <xf numFmtId="0" fontId="7" fillId="34" borderId="12" xfId="0" applyFont="1" applyFill="1" applyBorder="1" applyAlignment="1">
      <alignment horizontal="left"/>
    </xf>
    <xf numFmtId="0" fontId="7" fillId="34" borderId="39" xfId="0" applyFont="1" applyFill="1" applyBorder="1" applyAlignment="1">
      <alignment horizontal="left"/>
    </xf>
    <xf numFmtId="0" fontId="3" fillId="40" borderId="13" xfId="0" applyFont="1" applyFill="1" applyBorder="1" applyAlignment="1">
      <alignment horizontal="left" vertical="center"/>
    </xf>
    <xf numFmtId="0" fontId="3" fillId="37" borderId="13" xfId="0" applyFont="1" applyFill="1" applyBorder="1" applyAlignment="1">
      <alignment horizontal="left" vertical="center"/>
    </xf>
    <xf numFmtId="2" fontId="25" fillId="40" borderId="11" xfId="0" applyNumberFormat="1" applyFont="1" applyFill="1" applyBorder="1" applyAlignment="1" applyProtection="1">
      <alignment horizontal="right" vertical="center" indent="1"/>
      <protection/>
    </xf>
    <xf numFmtId="199" fontId="25" fillId="37" borderId="11" xfId="0" applyNumberFormat="1" applyFont="1" applyFill="1" applyBorder="1" applyAlignment="1" applyProtection="1">
      <alignment horizontal="right" vertical="center" indent="1"/>
      <protection locked="0"/>
    </xf>
    <xf numFmtId="0" fontId="25" fillId="40" borderId="11" xfId="0" applyNumberFormat="1" applyFont="1" applyFill="1" applyBorder="1" applyAlignment="1" applyProtection="1">
      <alignment horizontal="right" vertical="center" indent="1"/>
      <protection locked="0"/>
    </xf>
    <xf numFmtId="199" fontId="25" fillId="37" borderId="11" xfId="0" applyNumberFormat="1" applyFont="1" applyFill="1" applyBorder="1" applyAlignment="1" applyProtection="1">
      <alignment horizontal="right" vertical="center" indent="1"/>
      <protection/>
    </xf>
    <xf numFmtId="0" fontId="3" fillId="34" borderId="25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169" fontId="41" fillId="34" borderId="0" xfId="0" applyNumberFormat="1" applyFont="1" applyFill="1" applyAlignment="1">
      <alignment horizontal="right" indent="1"/>
    </xf>
    <xf numFmtId="0" fontId="19" fillId="50" borderId="0" xfId="0" applyFont="1" applyFill="1" applyAlignment="1">
      <alignment horizontal="center"/>
    </xf>
    <xf numFmtId="0" fontId="25" fillId="34" borderId="37" xfId="45" applyFont="1" applyFill="1" applyBorder="1" applyAlignment="1" applyProtection="1">
      <alignment horizontal="left" indent="8"/>
      <protection/>
    </xf>
    <xf numFmtId="0" fontId="0" fillId="0" borderId="36" xfId="0" applyBorder="1" applyAlignment="1">
      <alignment horizontal="left" indent="8"/>
    </xf>
    <xf numFmtId="0" fontId="6" fillId="34" borderId="37" xfId="0" applyFont="1" applyFill="1" applyBorder="1" applyAlignment="1">
      <alignment horizontal="left"/>
    </xf>
    <xf numFmtId="0" fontId="6" fillId="34" borderId="36" xfId="0" applyFont="1" applyFill="1" applyBorder="1" applyAlignment="1">
      <alignment horizontal="left"/>
    </xf>
    <xf numFmtId="0" fontId="7" fillId="34" borderId="38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37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36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OK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dxfs count="46">
    <dxf>
      <font>
        <b val="0"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ill>
        <patternFill>
          <bgColor indexed="42"/>
        </patternFill>
      </fill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b/>
        <i val="0"/>
        <color indexed="10"/>
      </font>
      <fill>
        <patternFill>
          <bgColor indexed="47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 val="0"/>
        <i val="0"/>
        <color indexed="10"/>
      </font>
      <fill>
        <patternFill>
          <bgColor indexed="47"/>
        </patternFill>
      </fill>
    </dxf>
    <dxf>
      <font>
        <b/>
        <i val="0"/>
        <u val="none"/>
        <strike val="0"/>
        <sz val="12"/>
        <color indexed="10"/>
      </font>
      <fill>
        <patternFill patternType="solid">
          <fgColor indexed="60"/>
          <bgColor indexed="47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 val="0"/>
        <u val="none"/>
        <strike val="0"/>
        <sz val="12"/>
        <color indexed="8"/>
      </font>
      <fill>
        <patternFill patternType="solid">
          <fgColor indexed="49"/>
          <bgColor indexed="42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ill>
        <patternFill>
          <bgColor indexed="13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10"/>
      </font>
      <fill>
        <patternFill>
          <bgColor indexed="47"/>
        </patternFill>
      </fill>
    </dxf>
    <dxf>
      <font>
        <b val="0"/>
        <i val="0"/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b val="0"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b val="0"/>
        <i val="0"/>
        <color indexed="10"/>
      </font>
      <fill>
        <patternFill>
          <bgColor indexed="47"/>
        </patternFill>
      </fill>
    </dxf>
    <dxf>
      <font>
        <b val="0"/>
        <i val="0"/>
        <color indexed="10"/>
      </font>
      <fill>
        <patternFill>
          <bgColor indexed="47"/>
        </patternFill>
      </fill>
    </dxf>
    <dxf>
      <font>
        <b val="0"/>
        <i val="0"/>
        <color indexed="10"/>
      </font>
      <fill>
        <patternFill>
          <bgColor indexed="47"/>
        </patternFill>
      </fill>
    </dxf>
    <dxf>
      <font>
        <b val="0"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b val="0"/>
        <i val="0"/>
        <u val="none"/>
        <strike val="0"/>
        <sz val="12"/>
        <color rgb="FF000000"/>
      </font>
      <fill>
        <patternFill patternType="solid">
          <fgColor rgb="FF33CCCC"/>
          <bgColor rgb="FFCCFFCC"/>
        </patternFill>
      </fill>
      <border>
        <left style="hair">
          <color rgb="FF000000"/>
        </left>
        <right style="thin">
          <color rgb="FF000000"/>
        </right>
        <top style="hair"/>
        <bottom style="thin">
          <color rgb="FF000000"/>
        </bottom>
      </border>
    </dxf>
    <dxf>
      <font>
        <b/>
        <i val="0"/>
        <u val="none"/>
        <strike val="0"/>
        <sz val="12"/>
        <color rgb="FFFF0000"/>
      </font>
      <fill>
        <patternFill patternType="solid">
          <fgColor rgb="FF993300"/>
          <bgColor rgb="FFFFCC99"/>
        </patternFill>
      </fill>
      <border>
        <left style="hair">
          <color rgb="FF000000"/>
        </left>
        <right style="thin">
          <color rgb="FF000000"/>
        </right>
        <top style="hair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Glidtalsberäkning, höjdbehov i diagramform 
för olika valda vindar i driftplanen vid 
bästa glid till vald säkerhetshöjd </a:t>
            </a:r>
          </a:p>
        </c:rich>
      </c:tx>
      <c:layout>
        <c:manualLayout>
          <c:xMode val="factor"/>
          <c:yMode val="factor"/>
          <c:x val="-0.101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65"/>
          <c:w val="0.894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'Driftplan, manuell eller auto'!$D$43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'Driftplan, manuell eller auto'!$BH$37:$BH$47</c:f>
              <c:numCache/>
            </c:numRef>
          </c:cat>
          <c:val>
            <c:numRef>
              <c:f>'Driftplan, manuell eller auto'!$BI$37:$BI$47</c:f>
              <c:numCache/>
            </c:numRef>
          </c:val>
          <c:smooth val="0"/>
        </c:ser>
        <c:ser>
          <c:idx val="1"/>
          <c:order val="1"/>
          <c:tx>
            <c:strRef>
              <c:f>'Driftplan, manuell eller auto'!$E$43</c:f>
              <c:strCache>
                <c:ptCount val="1"/>
                <c:pt idx="0">
                  <c:v>-20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noFill/>
              </a:ln>
            </c:spPr>
          </c:marker>
          <c:cat>
            <c:numRef>
              <c:f>'Driftplan, manuell eller auto'!$BH$37:$BH$47</c:f>
              <c:numCache/>
            </c:numRef>
          </c:cat>
          <c:val>
            <c:numRef>
              <c:f>'Driftplan, manuell eller auto'!$BJ$37:$BJ$47</c:f>
              <c:numCache/>
            </c:numRef>
          </c:val>
          <c:smooth val="0"/>
        </c:ser>
        <c:ser>
          <c:idx val="2"/>
          <c:order val="2"/>
          <c:tx>
            <c:v>Säkerhets höjd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'Driftplan, manuell eller auto'!$BH$37:$BH$47</c:f>
              <c:numCache/>
            </c:numRef>
          </c:cat>
          <c:val>
            <c:numRef>
              <c:f>'Driftplan, manuell eller auto'!$BK$37:$BK$47</c:f>
              <c:numCache/>
            </c:numRef>
          </c:val>
          <c:smooth val="0"/>
        </c:ser>
        <c:marker val="1"/>
        <c:axId val="49325210"/>
        <c:axId val="41273707"/>
      </c:lineChart>
      <c:catAx>
        <c:axId val="49325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Avstånd km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73707"/>
        <c:crosses val="autoZero"/>
        <c:auto val="1"/>
        <c:lblOffset val="100"/>
        <c:tickLblSkip val="1"/>
        <c:noMultiLvlLbl val="0"/>
      </c:catAx>
      <c:valAx>
        <c:axId val="41273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Höjdbehov m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25210"/>
        <c:crossesAt val="1"/>
        <c:crossBetween val="midCat"/>
        <c:dispUnits/>
        <c:majorUnit val="2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75"/>
          <c:y val="0.00575"/>
          <c:w val="0.245"/>
          <c:h val="0.1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Planering!A1" /><Relationship Id="rId3" Type="http://schemas.openxmlformats.org/officeDocument/2006/relationships/hyperlink" Target="#Planering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19050</xdr:rowOff>
    </xdr:from>
    <xdr:to>
      <xdr:col>1</xdr:col>
      <xdr:colOff>523875</xdr:colOff>
      <xdr:row>2</xdr:row>
      <xdr:rowOff>161925</xdr:rowOff>
    </xdr:to>
    <xdr:pic>
      <xdr:nvPicPr>
        <xdr:cNvPr id="1" name="Picture 6" descr="Segelflygets logga_2004_Blå förminsk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1066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638175</xdr:colOff>
      <xdr:row>3</xdr:row>
      <xdr:rowOff>0</xdr:rowOff>
    </xdr:to>
    <xdr:pic>
      <xdr:nvPicPr>
        <xdr:cNvPr id="1" name="Picture 2" descr="Segelflygets logga_2004_Blå förminsk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800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447675</xdr:colOff>
      <xdr:row>22</xdr:row>
      <xdr:rowOff>152400</xdr:rowOff>
    </xdr:from>
    <xdr:to>
      <xdr:col>30</xdr:col>
      <xdr:colOff>114300</xdr:colOff>
      <xdr:row>50</xdr:row>
      <xdr:rowOff>9525</xdr:rowOff>
    </xdr:to>
    <xdr:graphicFrame>
      <xdr:nvGraphicFramePr>
        <xdr:cNvPr id="2" name="Diagram 4"/>
        <xdr:cNvGraphicFramePr/>
      </xdr:nvGraphicFramePr>
      <xdr:xfrm>
        <a:off x="7010400" y="4105275"/>
        <a:ext cx="7277100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47625</xdr:rowOff>
    </xdr:from>
    <xdr:to>
      <xdr:col>2</xdr:col>
      <xdr:colOff>581025</xdr:colOff>
      <xdr:row>3</xdr:row>
      <xdr:rowOff>19050</xdr:rowOff>
    </xdr:to>
    <xdr:pic>
      <xdr:nvPicPr>
        <xdr:cNvPr id="1" name="Picture 3" descr="Segelflygets logga_2004_Blå förminsk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</xdr:col>
      <xdr:colOff>1066800</xdr:colOff>
      <xdr:row>3</xdr:row>
      <xdr:rowOff>95250</xdr:rowOff>
    </xdr:to>
    <xdr:pic>
      <xdr:nvPicPr>
        <xdr:cNvPr id="1" name="Picture 21" descr="Segelflygets logga_2004_Blå förminsk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1228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3181350</xdr:colOff>
      <xdr:row>51</xdr:row>
      <xdr:rowOff>9525</xdr:rowOff>
    </xdr:from>
    <xdr:to>
      <xdr:col>1</xdr:col>
      <xdr:colOff>4581525</xdr:colOff>
      <xdr:row>54</xdr:row>
      <xdr:rowOff>123825</xdr:rowOff>
    </xdr:to>
    <xdr:pic>
      <xdr:nvPicPr>
        <xdr:cNvPr id="1" name="Picture 8" descr="Segelflygets logga_2004_Blå förminsk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0239375"/>
          <a:ext cx="1400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47625</xdr:rowOff>
    </xdr:from>
    <xdr:to>
      <xdr:col>1</xdr:col>
      <xdr:colOff>1095375</xdr:colOff>
      <xdr:row>3</xdr:row>
      <xdr:rowOff>85725</xdr:rowOff>
    </xdr:to>
    <xdr:pic>
      <xdr:nvPicPr>
        <xdr:cNvPr id="2" name="Picture 9" descr="Segelflygets logga_2004_Blå förminsk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1228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15</xdr:row>
      <xdr:rowOff>142875</xdr:rowOff>
    </xdr:from>
    <xdr:to>
      <xdr:col>8</xdr:col>
      <xdr:colOff>409575</xdr:colOff>
      <xdr:row>40</xdr:row>
      <xdr:rowOff>9525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l="28594" t="20605" r="42410" b="35940"/>
        <a:stretch>
          <a:fillRect/>
        </a:stretch>
      </xdr:blipFill>
      <xdr:spPr>
        <a:xfrm>
          <a:off x="666750" y="2628900"/>
          <a:ext cx="4267200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609600</xdr:colOff>
      <xdr:row>12</xdr:row>
      <xdr:rowOff>114300</xdr:rowOff>
    </xdr:from>
    <xdr:to>
      <xdr:col>3</xdr:col>
      <xdr:colOff>628650</xdr:colOff>
      <xdr:row>43</xdr:row>
      <xdr:rowOff>9525</xdr:rowOff>
    </xdr:to>
    <xdr:sp>
      <xdr:nvSpPr>
        <xdr:cNvPr id="2" name="Line 6"/>
        <xdr:cNvSpPr>
          <a:spLocks/>
        </xdr:cNvSpPr>
      </xdr:nvSpPr>
      <xdr:spPr>
        <a:xfrm>
          <a:off x="2800350" y="2114550"/>
          <a:ext cx="19050" cy="5019675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28</xdr:row>
      <xdr:rowOff>38100</xdr:rowOff>
    </xdr:from>
    <xdr:to>
      <xdr:col>8</xdr:col>
      <xdr:colOff>676275</xdr:colOff>
      <xdr:row>28</xdr:row>
      <xdr:rowOff>57150</xdr:rowOff>
    </xdr:to>
    <xdr:sp>
      <xdr:nvSpPr>
        <xdr:cNvPr id="3" name="Line 7"/>
        <xdr:cNvSpPr>
          <a:spLocks/>
        </xdr:cNvSpPr>
      </xdr:nvSpPr>
      <xdr:spPr>
        <a:xfrm flipV="1">
          <a:off x="142875" y="4657725"/>
          <a:ext cx="5057775" cy="190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15</xdr:row>
      <xdr:rowOff>38100</xdr:rowOff>
    </xdr:from>
    <xdr:to>
      <xdr:col>8</xdr:col>
      <xdr:colOff>190500</xdr:colOff>
      <xdr:row>38</xdr:row>
      <xdr:rowOff>123825</xdr:rowOff>
    </xdr:to>
    <xdr:sp>
      <xdr:nvSpPr>
        <xdr:cNvPr id="4" name="Line 8"/>
        <xdr:cNvSpPr>
          <a:spLocks/>
        </xdr:cNvSpPr>
      </xdr:nvSpPr>
      <xdr:spPr>
        <a:xfrm flipH="1" flipV="1">
          <a:off x="533400" y="2524125"/>
          <a:ext cx="4181475" cy="3914775"/>
        </a:xfrm>
        <a:prstGeom prst="line">
          <a:avLst/>
        </a:prstGeom>
        <a:noFill/>
        <a:ln w="22225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1066800</xdr:colOff>
      <xdr:row>19</xdr:row>
      <xdr:rowOff>104775</xdr:rowOff>
    </xdr:from>
    <xdr:to>
      <xdr:col>2</xdr:col>
      <xdr:colOff>390525</xdr:colOff>
      <xdr:row>22</xdr:row>
      <xdr:rowOff>142875</xdr:rowOff>
    </xdr:to>
    <xdr:sp>
      <xdr:nvSpPr>
        <xdr:cNvPr id="5" name="Oval 9"/>
        <xdr:cNvSpPr>
          <a:spLocks/>
        </xdr:cNvSpPr>
      </xdr:nvSpPr>
      <xdr:spPr>
        <a:xfrm>
          <a:off x="1314450" y="3238500"/>
          <a:ext cx="523875" cy="523875"/>
        </a:xfrm>
        <a:prstGeom prst="ellips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13</xdr:row>
      <xdr:rowOff>38100</xdr:rowOff>
    </xdr:from>
    <xdr:to>
      <xdr:col>2</xdr:col>
      <xdr:colOff>47625</xdr:colOff>
      <xdr:row>19</xdr:row>
      <xdr:rowOff>123825</xdr:rowOff>
    </xdr:to>
    <xdr:sp>
      <xdr:nvSpPr>
        <xdr:cNvPr id="6" name="Line 10"/>
        <xdr:cNvSpPr>
          <a:spLocks/>
        </xdr:cNvSpPr>
      </xdr:nvSpPr>
      <xdr:spPr>
        <a:xfrm>
          <a:off x="1095375" y="2200275"/>
          <a:ext cx="400050" cy="10572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62</xdr:row>
      <xdr:rowOff>114300</xdr:rowOff>
    </xdr:from>
    <xdr:to>
      <xdr:col>7</xdr:col>
      <xdr:colOff>114300</xdr:colOff>
      <xdr:row>62</xdr:row>
      <xdr:rowOff>114300</xdr:rowOff>
    </xdr:to>
    <xdr:sp>
      <xdr:nvSpPr>
        <xdr:cNvPr id="7" name="Line 22"/>
        <xdr:cNvSpPr>
          <a:spLocks/>
        </xdr:cNvSpPr>
      </xdr:nvSpPr>
      <xdr:spPr>
        <a:xfrm>
          <a:off x="3781425" y="10372725"/>
          <a:ext cx="742950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65</xdr:row>
      <xdr:rowOff>104775</xdr:rowOff>
    </xdr:from>
    <xdr:to>
      <xdr:col>8</xdr:col>
      <xdr:colOff>600075</xdr:colOff>
      <xdr:row>65</xdr:row>
      <xdr:rowOff>104775</xdr:rowOff>
    </xdr:to>
    <xdr:sp>
      <xdr:nvSpPr>
        <xdr:cNvPr id="8" name="Line 23"/>
        <xdr:cNvSpPr>
          <a:spLocks/>
        </xdr:cNvSpPr>
      </xdr:nvSpPr>
      <xdr:spPr>
        <a:xfrm>
          <a:off x="4029075" y="10848975"/>
          <a:ext cx="1095375" cy="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50</xdr:row>
      <xdr:rowOff>47625</xdr:rowOff>
    </xdr:from>
    <xdr:to>
      <xdr:col>5</xdr:col>
      <xdr:colOff>19050</xdr:colOff>
      <xdr:row>53</xdr:row>
      <xdr:rowOff>38100</xdr:rowOff>
    </xdr:to>
    <xdr:sp>
      <xdr:nvSpPr>
        <xdr:cNvPr id="9" name="Line 24"/>
        <xdr:cNvSpPr>
          <a:spLocks/>
        </xdr:cNvSpPr>
      </xdr:nvSpPr>
      <xdr:spPr>
        <a:xfrm>
          <a:off x="2924175" y="8324850"/>
          <a:ext cx="428625" cy="49530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50</xdr:row>
      <xdr:rowOff>28575</xdr:rowOff>
    </xdr:from>
    <xdr:to>
      <xdr:col>8</xdr:col>
      <xdr:colOff>285750</xdr:colOff>
      <xdr:row>50</xdr:row>
      <xdr:rowOff>28575</xdr:rowOff>
    </xdr:to>
    <xdr:sp>
      <xdr:nvSpPr>
        <xdr:cNvPr id="10" name="Line 25"/>
        <xdr:cNvSpPr>
          <a:spLocks/>
        </xdr:cNvSpPr>
      </xdr:nvSpPr>
      <xdr:spPr>
        <a:xfrm>
          <a:off x="2914650" y="8305800"/>
          <a:ext cx="1895475" cy="0"/>
        </a:xfrm>
        <a:prstGeom prst="line">
          <a:avLst/>
        </a:prstGeom>
        <a:noFill/>
        <a:ln w="127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50</xdr:row>
      <xdr:rowOff>76200</xdr:rowOff>
    </xdr:from>
    <xdr:to>
      <xdr:col>8</xdr:col>
      <xdr:colOff>238125</xdr:colOff>
      <xdr:row>53</xdr:row>
      <xdr:rowOff>28575</xdr:rowOff>
    </xdr:to>
    <xdr:sp>
      <xdr:nvSpPr>
        <xdr:cNvPr id="11" name="Line 26"/>
        <xdr:cNvSpPr>
          <a:spLocks/>
        </xdr:cNvSpPr>
      </xdr:nvSpPr>
      <xdr:spPr>
        <a:xfrm flipV="1">
          <a:off x="3371850" y="8353425"/>
          <a:ext cx="1390650" cy="45720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58</xdr:row>
      <xdr:rowOff>104775</xdr:rowOff>
    </xdr:from>
    <xdr:to>
      <xdr:col>8</xdr:col>
      <xdr:colOff>466725</xdr:colOff>
      <xdr:row>58</xdr:row>
      <xdr:rowOff>104775</xdr:rowOff>
    </xdr:to>
    <xdr:sp>
      <xdr:nvSpPr>
        <xdr:cNvPr id="12" name="Line 27"/>
        <xdr:cNvSpPr>
          <a:spLocks/>
        </xdr:cNvSpPr>
      </xdr:nvSpPr>
      <xdr:spPr>
        <a:xfrm>
          <a:off x="3819525" y="9715500"/>
          <a:ext cx="1171575" cy="0"/>
        </a:xfrm>
        <a:prstGeom prst="line">
          <a:avLst/>
        </a:prstGeom>
        <a:noFill/>
        <a:ln w="127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</xdr:row>
      <xdr:rowOff>9525</xdr:rowOff>
    </xdr:from>
    <xdr:to>
      <xdr:col>1</xdr:col>
      <xdr:colOff>847725</xdr:colOff>
      <xdr:row>5</xdr:row>
      <xdr:rowOff>0</xdr:rowOff>
    </xdr:to>
    <xdr:pic>
      <xdr:nvPicPr>
        <xdr:cNvPr id="13" name="Picture 31" descr="Segelflygets logga_2004_Blå förminsk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90525"/>
          <a:ext cx="933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19050</xdr:rowOff>
    </xdr:from>
    <xdr:to>
      <xdr:col>0</xdr:col>
      <xdr:colOff>1057275</xdr:colOff>
      <xdr:row>2</xdr:row>
      <xdr:rowOff>66675</xdr:rowOff>
    </xdr:to>
    <xdr:pic>
      <xdr:nvPicPr>
        <xdr:cNvPr id="1" name="Picture 3" descr="Segelflygets logga_2004_Blå förminsk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933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1962150</xdr:colOff>
      <xdr:row>27</xdr:row>
      <xdr:rowOff>95250</xdr:rowOff>
    </xdr:from>
    <xdr:to>
      <xdr:col>1</xdr:col>
      <xdr:colOff>3571875</xdr:colOff>
      <xdr:row>31</xdr:row>
      <xdr:rowOff>123825</xdr:rowOff>
    </xdr:to>
    <xdr:pic>
      <xdr:nvPicPr>
        <xdr:cNvPr id="2" name="Picture 4" descr="Segelflygets logga_2004_Blå förminskad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5676900"/>
          <a:ext cx="1609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47625</xdr:rowOff>
    </xdr:from>
    <xdr:to>
      <xdr:col>1</xdr:col>
      <xdr:colOff>419100</xdr:colOff>
      <xdr:row>2</xdr:row>
      <xdr:rowOff>95250</xdr:rowOff>
    </xdr:to>
    <xdr:pic>
      <xdr:nvPicPr>
        <xdr:cNvPr id="1" name="Picture 3" descr="Segelflygets logga_2004_Blå förminsk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933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4114800</xdr:colOff>
      <xdr:row>24</xdr:row>
      <xdr:rowOff>104775</xdr:rowOff>
    </xdr:from>
    <xdr:to>
      <xdr:col>2</xdr:col>
      <xdr:colOff>5534025</xdr:colOff>
      <xdr:row>28</xdr:row>
      <xdr:rowOff>28575</xdr:rowOff>
    </xdr:to>
    <xdr:pic>
      <xdr:nvPicPr>
        <xdr:cNvPr id="2" name="Picture 4" descr="Segelflygets logga_2004_Blå förminsk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876800"/>
          <a:ext cx="1419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dobe.com/se/products/acrobat/readstep2.html" TargetMode="Externa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Q56"/>
  <sheetViews>
    <sheetView showZeros="0" zoomScale="85" zoomScaleNormal="85" zoomScalePageLayoutView="0" workbookViewId="0" topLeftCell="A1">
      <selection activeCell="E25" sqref="E25"/>
    </sheetView>
  </sheetViews>
  <sheetFormatPr defaultColWidth="10.421875" defaultRowHeight="12.75"/>
  <cols>
    <col min="1" max="1" width="9.7109375" style="3" customWidth="1"/>
    <col min="2" max="2" width="20.7109375" style="8" customWidth="1"/>
    <col min="3" max="3" width="8.8515625" style="8" bestFit="1" customWidth="1"/>
    <col min="4" max="4" width="10.421875" style="8" customWidth="1"/>
    <col min="5" max="5" width="9.7109375" style="8" customWidth="1"/>
    <col min="6" max="6" width="11.7109375" style="8" customWidth="1"/>
    <col min="7" max="7" width="7.57421875" style="8" customWidth="1"/>
    <col min="8" max="8" width="15.8515625" style="8" bestFit="1" customWidth="1"/>
    <col min="9" max="9" width="10.28125" style="8" customWidth="1"/>
    <col min="10" max="10" width="5.7109375" style="8" customWidth="1"/>
    <col min="11" max="13" width="10.421875" style="8" customWidth="1"/>
    <col min="14" max="14" width="10.421875" style="8" hidden="1" customWidth="1"/>
    <col min="15" max="15" width="9.28125" style="8" hidden="1" customWidth="1"/>
    <col min="16" max="16" width="2.57421875" style="8" hidden="1" customWidth="1"/>
    <col min="17" max="17" width="4.00390625" style="8" hidden="1" customWidth="1"/>
    <col min="18" max="16384" width="10.421875" style="8" customWidth="1"/>
  </cols>
  <sheetData>
    <row r="1" spans="1:10" ht="15.75">
      <c r="A1" s="310" t="str">
        <f>Readme!B1</f>
        <v>Driftfärdplan Grob G 109B</v>
      </c>
      <c r="B1" s="311"/>
      <c r="C1" s="311"/>
      <c r="D1" s="311"/>
      <c r="E1" s="311"/>
      <c r="F1" s="311"/>
      <c r="G1" s="311"/>
      <c r="H1" s="311"/>
      <c r="I1" s="311"/>
      <c r="J1" s="107"/>
    </row>
    <row r="2" spans="1:10" ht="15.75">
      <c r="A2" s="312" t="str">
        <f>Readme!B2</f>
        <v>SE-UAB</v>
      </c>
      <c r="B2" s="313"/>
      <c r="C2" s="313"/>
      <c r="D2" s="313"/>
      <c r="E2" s="313"/>
      <c r="F2" s="313"/>
      <c r="G2" s="313"/>
      <c r="H2" s="313"/>
      <c r="I2" s="313"/>
      <c r="J2" s="123"/>
    </row>
    <row r="3" spans="1:10" ht="15">
      <c r="A3" s="323"/>
      <c r="B3" s="324"/>
      <c r="C3" s="324"/>
      <c r="D3" s="324"/>
      <c r="E3" s="324"/>
      <c r="F3" s="324"/>
      <c r="G3" s="324"/>
      <c r="H3" s="324"/>
      <c r="I3" s="324"/>
      <c r="J3" s="325"/>
    </row>
    <row r="4" spans="1:10" ht="15">
      <c r="A4" s="122"/>
      <c r="B4" s="124" t="s">
        <v>207</v>
      </c>
      <c r="C4" s="205">
        <v>150</v>
      </c>
      <c r="D4" s="28" t="s">
        <v>8</v>
      </c>
      <c r="E4" s="314" t="s">
        <v>209</v>
      </c>
      <c r="F4" s="314"/>
      <c r="G4" s="315"/>
      <c r="H4" s="206">
        <f>'Grunddata flpl'!B15</f>
        <v>14</v>
      </c>
      <c r="I4" s="28" t="s">
        <v>208</v>
      </c>
      <c r="J4" s="123"/>
    </row>
    <row r="5" spans="1:10" ht="9.75" customHeight="1">
      <c r="A5" s="323"/>
      <c r="B5" s="324"/>
      <c r="C5" s="324"/>
      <c r="D5" s="324"/>
      <c r="E5" s="324"/>
      <c r="F5" s="324"/>
      <c r="G5" s="324"/>
      <c r="H5" s="324"/>
      <c r="I5" s="324"/>
      <c r="J5" s="325"/>
    </row>
    <row r="6" spans="1:10" ht="15.75">
      <c r="A6" s="316" t="s">
        <v>240</v>
      </c>
      <c r="B6" s="317"/>
      <c r="C6" s="321" t="s">
        <v>238</v>
      </c>
      <c r="D6" s="322"/>
      <c r="E6" s="318"/>
      <c r="F6" s="319"/>
      <c r="G6" s="319"/>
      <c r="H6" s="319"/>
      <c r="I6" s="320"/>
      <c r="J6" s="325"/>
    </row>
    <row r="7" spans="1:10" s="302" customFormat="1" ht="47.25">
      <c r="A7" s="125" t="s">
        <v>53</v>
      </c>
      <c r="B7" s="29" t="s">
        <v>72</v>
      </c>
      <c r="C7" s="98" t="s">
        <v>257</v>
      </c>
      <c r="D7" s="98" t="s">
        <v>115</v>
      </c>
      <c r="E7" s="98" t="s">
        <v>113</v>
      </c>
      <c r="F7" s="98" t="s">
        <v>256</v>
      </c>
      <c r="G7" s="98" t="s">
        <v>114</v>
      </c>
      <c r="H7" s="98" t="s">
        <v>116</v>
      </c>
      <c r="I7" s="98" t="s">
        <v>9</v>
      </c>
      <c r="J7" s="325"/>
    </row>
    <row r="8" spans="1:10" ht="15">
      <c r="A8" s="172" t="s">
        <v>54</v>
      </c>
      <c r="B8" s="193"/>
      <c r="C8" s="82"/>
      <c r="D8" s="82"/>
      <c r="E8" s="82"/>
      <c r="F8" s="82"/>
      <c r="G8" s="82"/>
      <c r="H8" s="82"/>
      <c r="I8" s="52"/>
      <c r="J8" s="325"/>
    </row>
    <row r="9" spans="1:10" ht="15">
      <c r="A9" s="173">
        <v>1</v>
      </c>
      <c r="B9" s="193"/>
      <c r="C9" s="170"/>
      <c r="D9" s="171"/>
      <c r="E9" s="171"/>
      <c r="F9" s="171"/>
      <c r="G9" s="25">
        <f>D9+DEGREES(ASIN(E9/$C$4*SIN(RADIANS(D9-(F9-180)))))</f>
        <v>0</v>
      </c>
      <c r="H9" s="25">
        <f>IF(C9&gt;0,$C$4*COS(RADIANS(G9-D9))+E9*COS(RADIANS(D9-(F9-180))),0)</f>
        <v>0</v>
      </c>
      <c r="I9" s="25">
        <f>IF(C9&gt;0,(60*C9/H9),0)</f>
        <v>0</v>
      </c>
      <c r="J9" s="325"/>
    </row>
    <row r="10" spans="1:10" ht="15">
      <c r="A10" s="173">
        <v>2</v>
      </c>
      <c r="B10" s="193"/>
      <c r="C10" s="170"/>
      <c r="D10" s="171"/>
      <c r="E10" s="171"/>
      <c r="F10" s="171"/>
      <c r="G10" s="25">
        <f aca="true" t="shared" si="0" ref="G10:G15">D10+DEGREES(ASIN(E10/$C$4*SIN(RADIANS(D10-(F10-180)))))</f>
        <v>0</v>
      </c>
      <c r="H10" s="25">
        <f aca="true" t="shared" si="1" ref="H10:H15">IF(C10&gt;0,$C$4*COS(RADIANS(G10-D10))+E10*COS(RADIANS(D10-(F10-180))),0)</f>
        <v>0</v>
      </c>
      <c r="I10" s="25">
        <f aca="true" t="shared" si="2" ref="I10:I15">IF(C10&gt;0,(60*C10/H10),0)</f>
        <v>0</v>
      </c>
      <c r="J10" s="325"/>
    </row>
    <row r="11" spans="1:10" ht="15">
      <c r="A11" s="173">
        <v>3</v>
      </c>
      <c r="B11" s="193"/>
      <c r="C11" s="170"/>
      <c r="D11" s="171"/>
      <c r="E11" s="171"/>
      <c r="F11" s="171"/>
      <c r="G11" s="25">
        <f t="shared" si="0"/>
        <v>0</v>
      </c>
      <c r="H11" s="25">
        <f t="shared" si="1"/>
        <v>0</v>
      </c>
      <c r="I11" s="25">
        <f t="shared" si="2"/>
        <v>0</v>
      </c>
      <c r="J11" s="325"/>
    </row>
    <row r="12" spans="1:10" ht="15">
      <c r="A12" s="173">
        <v>4</v>
      </c>
      <c r="B12" s="193"/>
      <c r="C12" s="170"/>
      <c r="D12" s="171"/>
      <c r="E12" s="171"/>
      <c r="F12" s="171"/>
      <c r="G12" s="25">
        <f t="shared" si="0"/>
        <v>0</v>
      </c>
      <c r="H12" s="25">
        <f t="shared" si="1"/>
        <v>0</v>
      </c>
      <c r="I12" s="25">
        <f t="shared" si="2"/>
        <v>0</v>
      </c>
      <c r="J12" s="325"/>
    </row>
    <row r="13" spans="1:10" ht="15">
      <c r="A13" s="173">
        <v>5</v>
      </c>
      <c r="B13" s="193"/>
      <c r="C13" s="170"/>
      <c r="D13" s="171"/>
      <c r="E13" s="171"/>
      <c r="F13" s="171"/>
      <c r="G13" s="25">
        <f t="shared" si="0"/>
        <v>0</v>
      </c>
      <c r="H13" s="25">
        <f t="shared" si="1"/>
        <v>0</v>
      </c>
      <c r="I13" s="25">
        <f t="shared" si="2"/>
        <v>0</v>
      </c>
      <c r="J13" s="325"/>
    </row>
    <row r="14" spans="1:10" ht="15">
      <c r="A14" s="173">
        <v>6</v>
      </c>
      <c r="B14" s="193"/>
      <c r="C14" s="170"/>
      <c r="D14" s="171"/>
      <c r="E14" s="171"/>
      <c r="F14" s="171"/>
      <c r="G14" s="25">
        <f t="shared" si="0"/>
        <v>0</v>
      </c>
      <c r="H14" s="25">
        <f t="shared" si="1"/>
        <v>0</v>
      </c>
      <c r="I14" s="25">
        <f t="shared" si="2"/>
        <v>0</v>
      </c>
      <c r="J14" s="325"/>
    </row>
    <row r="15" spans="1:10" ht="15">
      <c r="A15" s="173">
        <v>7</v>
      </c>
      <c r="B15" s="193"/>
      <c r="C15" s="170"/>
      <c r="D15" s="171"/>
      <c r="E15" s="171"/>
      <c r="F15" s="171"/>
      <c r="G15" s="25">
        <f t="shared" si="0"/>
        <v>0</v>
      </c>
      <c r="H15" s="25">
        <f t="shared" si="1"/>
        <v>0</v>
      </c>
      <c r="I15" s="25">
        <f t="shared" si="2"/>
        <v>0</v>
      </c>
      <c r="J15" s="325"/>
    </row>
    <row r="16" spans="1:10" ht="15" customHeight="1">
      <c r="A16" s="172" t="s">
        <v>55</v>
      </c>
      <c r="B16" s="193"/>
      <c r="C16" s="82"/>
      <c r="D16" s="347"/>
      <c r="E16" s="347"/>
      <c r="F16" s="347"/>
      <c r="G16" s="347"/>
      <c r="H16" s="348"/>
      <c r="I16" s="52"/>
      <c r="J16" s="325"/>
    </row>
    <row r="17" spans="1:17" ht="15.75">
      <c r="A17" s="174" t="s">
        <v>56</v>
      </c>
      <c r="B17" s="39"/>
      <c r="C17" s="164">
        <f>SUM(C9:C15)</f>
        <v>0</v>
      </c>
      <c r="D17" s="354"/>
      <c r="E17" s="355"/>
      <c r="F17" s="355"/>
      <c r="G17" s="355"/>
      <c r="H17" s="356"/>
      <c r="I17" s="58">
        <f>SUM(I8:I16)</f>
        <v>0</v>
      </c>
      <c r="J17" s="325"/>
      <c r="N17" s="303">
        <f>I17</f>
        <v>0</v>
      </c>
      <c r="O17" s="8">
        <f>N17/60</f>
        <v>0</v>
      </c>
      <c r="P17" s="8">
        <f>ROUNDDOWN(O17,0)</f>
        <v>0</v>
      </c>
      <c r="Q17" s="303">
        <f>(O17-P17)*60</f>
        <v>0</v>
      </c>
    </row>
    <row r="18" spans="1:17" ht="15">
      <c r="A18" s="349" t="s">
        <v>252</v>
      </c>
      <c r="B18" s="350"/>
      <c r="C18" s="350"/>
      <c r="D18" s="350"/>
      <c r="E18" s="350"/>
      <c r="F18" s="350"/>
      <c r="G18" s="350"/>
      <c r="H18" s="351"/>
      <c r="I18" s="191">
        <f>I17/60</f>
        <v>0</v>
      </c>
      <c r="J18" s="325"/>
      <c r="O18" s="304"/>
      <c r="P18" s="304"/>
      <c r="Q18" s="304"/>
    </row>
    <row r="19" spans="1:17" ht="7.5" customHeight="1">
      <c r="A19" s="345"/>
      <c r="B19" s="346"/>
      <c r="C19" s="346"/>
      <c r="D19" s="346"/>
      <c r="E19" s="346"/>
      <c r="F19" s="346"/>
      <c r="G19" s="346"/>
      <c r="H19" s="346"/>
      <c r="I19" s="346"/>
      <c r="J19" s="325"/>
      <c r="O19" s="304"/>
      <c r="P19" s="304"/>
      <c r="Q19" s="304"/>
    </row>
    <row r="20" spans="1:17" s="305" customFormat="1" ht="15.75">
      <c r="A20" s="352" t="s">
        <v>261</v>
      </c>
      <c r="B20" s="353"/>
      <c r="C20" s="353"/>
      <c r="D20" s="353"/>
      <c r="E20" s="353"/>
      <c r="F20" s="353"/>
      <c r="G20" s="353"/>
      <c r="H20" s="165" t="str">
        <f>CONCATENATE(P17," tim")</f>
        <v>0 tim</v>
      </c>
      <c r="I20" s="188" t="str">
        <f>CONCATENATE(ROUND(Q17,0)," min")</f>
        <v>0 min</v>
      </c>
      <c r="J20" s="325"/>
      <c r="O20" s="306"/>
      <c r="P20" s="306"/>
      <c r="Q20" s="306"/>
    </row>
    <row r="21" spans="1:10" ht="9.75" customHeight="1">
      <c r="A21" s="323"/>
      <c r="B21" s="324"/>
      <c r="C21" s="324"/>
      <c r="D21" s="324"/>
      <c r="E21" s="324"/>
      <c r="F21" s="324"/>
      <c r="G21" s="324"/>
      <c r="H21" s="324"/>
      <c r="I21" s="324"/>
      <c r="J21" s="325"/>
    </row>
    <row r="22" spans="1:10" s="302" customFormat="1" ht="16.5" thickBot="1">
      <c r="A22" s="126"/>
      <c r="B22" s="308" t="s">
        <v>57</v>
      </c>
      <c r="C22" s="308"/>
      <c r="D22" s="308"/>
      <c r="E22" s="308"/>
      <c r="F22" s="127"/>
      <c r="G22" s="309" t="s">
        <v>58</v>
      </c>
      <c r="H22" s="309"/>
      <c r="I22" s="309"/>
      <c r="J22" s="128"/>
    </row>
    <row r="23" spans="1:10" ht="31.5">
      <c r="A23" s="332"/>
      <c r="B23" s="26"/>
      <c r="C23" s="29" t="s">
        <v>131</v>
      </c>
      <c r="D23" s="29" t="s">
        <v>270</v>
      </c>
      <c r="E23" s="29" t="s">
        <v>271</v>
      </c>
      <c r="F23" s="344"/>
      <c r="G23" s="40" t="s">
        <v>59</v>
      </c>
      <c r="H23" s="41" t="s">
        <v>8</v>
      </c>
      <c r="I23" s="42" t="s">
        <v>60</v>
      </c>
      <c r="J23" s="333"/>
    </row>
    <row r="24" spans="1:10" ht="15">
      <c r="A24" s="332"/>
      <c r="B24" s="176" t="s">
        <v>61</v>
      </c>
      <c r="C24" s="83"/>
      <c r="D24" s="84"/>
      <c r="E24" s="207"/>
      <c r="F24" s="344"/>
      <c r="G24" s="53">
        <v>1</v>
      </c>
      <c r="H24" s="27">
        <f>3.6*G24</f>
        <v>3.6</v>
      </c>
      <c r="I24" s="43">
        <f>H24/1.852</f>
        <v>1.9438444924406046</v>
      </c>
      <c r="J24" s="333"/>
    </row>
    <row r="25" spans="1:10" ht="15">
      <c r="A25" s="332"/>
      <c r="B25" s="176" t="s">
        <v>62</v>
      </c>
      <c r="C25" s="83"/>
      <c r="D25" s="84"/>
      <c r="E25" s="207">
        <v>0</v>
      </c>
      <c r="F25" s="344"/>
      <c r="G25" s="44">
        <f>H25/3.6</f>
        <v>2.7777777777777777</v>
      </c>
      <c r="H25" s="52">
        <v>10</v>
      </c>
      <c r="I25" s="43">
        <f>H25/1.852</f>
        <v>5.399568034557235</v>
      </c>
      <c r="J25" s="333"/>
    </row>
    <row r="26" spans="1:10" ht="15.75" thickBot="1">
      <c r="A26" s="332"/>
      <c r="B26" s="176" t="s">
        <v>127</v>
      </c>
      <c r="C26" s="83"/>
      <c r="D26" s="84"/>
      <c r="E26" s="207"/>
      <c r="F26" s="344"/>
      <c r="G26" s="45">
        <f>H26/3.6</f>
        <v>0.5144444444444445</v>
      </c>
      <c r="H26" s="46">
        <f>1.852*I26</f>
        <v>1.852</v>
      </c>
      <c r="I26" s="54">
        <v>1</v>
      </c>
      <c r="J26" s="333"/>
    </row>
    <row r="27" spans="1:10" ht="15.75">
      <c r="A27" s="332"/>
      <c r="B27" s="176" t="s">
        <v>63</v>
      </c>
      <c r="C27" s="208">
        <f>$I$17/60</f>
        <v>0</v>
      </c>
      <c r="D27" s="209">
        <f>C27*$H$4</f>
        <v>0</v>
      </c>
      <c r="E27" s="210">
        <f>0.71*D27</f>
        <v>0</v>
      </c>
      <c r="F27" s="344"/>
      <c r="G27" s="89"/>
      <c r="H27" s="47" t="s">
        <v>69</v>
      </c>
      <c r="I27" s="48" t="s">
        <v>70</v>
      </c>
      <c r="J27" s="333"/>
    </row>
    <row r="28" spans="1:10" ht="15">
      <c r="A28" s="332"/>
      <c r="B28" s="176" t="s">
        <v>64</v>
      </c>
      <c r="C28" s="211">
        <f>'Grunddata flpl'!B16</f>
        <v>0.75</v>
      </c>
      <c r="D28" s="210">
        <f>C28*$H$4</f>
        <v>10.5</v>
      </c>
      <c r="E28" s="210">
        <f>0.71*D28</f>
        <v>7.455</v>
      </c>
      <c r="F28" s="344"/>
      <c r="G28" s="88"/>
      <c r="H28" s="51">
        <v>900</v>
      </c>
      <c r="I28" s="49">
        <f>H28*3.28</f>
        <v>2952</v>
      </c>
      <c r="J28" s="333"/>
    </row>
    <row r="29" spans="1:10" ht="15.75" thickBot="1">
      <c r="A29" s="332"/>
      <c r="B29" s="176" t="s">
        <v>65</v>
      </c>
      <c r="C29" s="212">
        <f>D29/$H$4</f>
        <v>0</v>
      </c>
      <c r="D29" s="213"/>
      <c r="E29" s="210">
        <f>0.71*D29</f>
        <v>0</v>
      </c>
      <c r="F29" s="344"/>
      <c r="G29" s="87"/>
      <c r="H29" s="50">
        <f>I29*0.3048</f>
        <v>304.8</v>
      </c>
      <c r="I29" s="55">
        <v>1000</v>
      </c>
      <c r="J29" s="333"/>
    </row>
    <row r="30" spans="1:10" ht="15.75" customHeight="1">
      <c r="A30" s="332"/>
      <c r="B30" s="176" t="s">
        <v>66</v>
      </c>
      <c r="C30" s="212">
        <f>SUM(C27:C29)</f>
        <v>0.75</v>
      </c>
      <c r="D30" s="210">
        <f>C30*$H$4</f>
        <v>10.5</v>
      </c>
      <c r="E30" s="210">
        <f>SUM(E24:E29)</f>
        <v>7.455</v>
      </c>
      <c r="F30" s="344"/>
      <c r="G30" s="334" t="s">
        <v>130</v>
      </c>
      <c r="H30" s="335"/>
      <c r="I30" s="336"/>
      <c r="J30" s="333"/>
    </row>
    <row r="31" spans="1:10" ht="15" customHeight="1">
      <c r="A31" s="332"/>
      <c r="B31" s="176" t="s">
        <v>67</v>
      </c>
      <c r="C31" s="214"/>
      <c r="D31" s="215">
        <f>'Grunddata flpl'!B17</f>
        <v>2</v>
      </c>
      <c r="E31" s="215">
        <f>'Grunddata flpl'!B19</f>
        <v>666</v>
      </c>
      <c r="F31" s="344"/>
      <c r="G31" s="63"/>
      <c r="H31" s="62" t="s">
        <v>111</v>
      </c>
      <c r="I31" s="60" t="s">
        <v>112</v>
      </c>
      <c r="J31" s="333"/>
    </row>
    <row r="32" spans="1:10" ht="15.75" customHeight="1">
      <c r="A32" s="332"/>
      <c r="B32" s="177" t="s">
        <v>56</v>
      </c>
      <c r="C32" s="216">
        <f>$C$30</f>
        <v>0.75</v>
      </c>
      <c r="D32" s="217">
        <f>SUM(D30:D31)</f>
        <v>12.5</v>
      </c>
      <c r="E32" s="217">
        <f>$E$30+$E$31+0.8*$D$31</f>
        <v>675.0550000000001</v>
      </c>
      <c r="F32" s="344"/>
      <c r="G32" s="64" t="s">
        <v>110</v>
      </c>
      <c r="H32" s="59" t="s">
        <v>4</v>
      </c>
      <c r="I32" s="61" t="s">
        <v>4</v>
      </c>
      <c r="J32" s="333"/>
    </row>
    <row r="33" spans="1:10" ht="15.75">
      <c r="A33" s="332"/>
      <c r="B33" s="330" t="s">
        <v>135</v>
      </c>
      <c r="C33" s="330"/>
      <c r="D33" s="330"/>
      <c r="E33" s="330"/>
      <c r="F33" s="344"/>
      <c r="G33" s="56">
        <v>1</v>
      </c>
      <c r="H33" s="282">
        <f>G33*2.5</f>
        <v>2.5</v>
      </c>
      <c r="I33" s="283">
        <f>G33*5</f>
        <v>5</v>
      </c>
      <c r="J33" s="333"/>
    </row>
    <row r="34" spans="1:10" ht="15">
      <c r="A34" s="332"/>
      <c r="B34" s="175" t="s">
        <v>134</v>
      </c>
      <c r="C34" s="101"/>
      <c r="D34" s="218"/>
      <c r="E34" s="219">
        <f>'Grunddata flpl'!B20</f>
        <v>70</v>
      </c>
      <c r="F34" s="344"/>
      <c r="G34" s="284">
        <f>H34/2.5</f>
        <v>2</v>
      </c>
      <c r="H34" s="57">
        <v>5</v>
      </c>
      <c r="I34" s="86"/>
      <c r="J34" s="333"/>
    </row>
    <row r="35" spans="1:10" ht="15.75" thickBot="1">
      <c r="A35" s="332"/>
      <c r="B35" s="175" t="s">
        <v>239</v>
      </c>
      <c r="C35" s="101"/>
      <c r="D35" s="218"/>
      <c r="E35" s="219">
        <f>'Grunddata flpl'!B21</f>
        <v>220</v>
      </c>
      <c r="F35" s="344"/>
      <c r="G35" s="285">
        <f>I35/5</f>
        <v>4</v>
      </c>
      <c r="H35" s="85"/>
      <c r="I35" s="65">
        <v>20</v>
      </c>
      <c r="J35" s="333"/>
    </row>
    <row r="36" spans="1:10" ht="15.75">
      <c r="A36" s="332"/>
      <c r="B36" s="175" t="s">
        <v>128</v>
      </c>
      <c r="C36" s="101"/>
      <c r="D36" s="218"/>
      <c r="E36" s="220">
        <f>'Grunddata flpl'!B22</f>
        <v>20</v>
      </c>
      <c r="F36" s="344"/>
      <c r="G36" s="258" t="s">
        <v>136</v>
      </c>
      <c r="H36" s="259" t="s">
        <v>211</v>
      </c>
      <c r="I36" s="260"/>
      <c r="J36" s="333"/>
    </row>
    <row r="37" spans="1:10" ht="15">
      <c r="A37" s="332"/>
      <c r="B37" s="175" t="s">
        <v>210</v>
      </c>
      <c r="C37" s="101"/>
      <c r="D37" s="102">
        <f>D38-D32</f>
        <v>87.5</v>
      </c>
      <c r="E37" s="218"/>
      <c r="F37" s="344"/>
      <c r="G37" s="255">
        <v>25</v>
      </c>
      <c r="H37" s="256">
        <f>IF(G37&lt;=100,$D$38*(G37/100),$D$38)</f>
        <v>25</v>
      </c>
      <c r="I37" s="257">
        <f>IF(G37&gt;100,"%&gt;100","")</f>
      </c>
      <c r="J37" s="333"/>
    </row>
    <row r="38" spans="1:10" ht="15">
      <c r="A38" s="332"/>
      <c r="B38" s="175" t="s">
        <v>129</v>
      </c>
      <c r="C38" s="101"/>
      <c r="D38" s="219">
        <f>'Grunddata flpl'!B18</f>
        <v>100</v>
      </c>
      <c r="E38" s="220">
        <f>'Grunddata flpl'!B23</f>
        <v>850</v>
      </c>
      <c r="F38" s="344"/>
      <c r="G38" s="180">
        <v>50</v>
      </c>
      <c r="H38" s="178">
        <f>IF(G38&lt;=100,$D$38*(G38/100),$D$38)</f>
        <v>50</v>
      </c>
      <c r="I38" s="86">
        <f>IF(G38&gt;100,"%&gt;100","")</f>
      </c>
      <c r="J38" s="333"/>
    </row>
    <row r="39" spans="1:10" ht="15">
      <c r="A39" s="332"/>
      <c r="B39" s="175" t="s">
        <v>134</v>
      </c>
      <c r="C39" s="101"/>
      <c r="D39" s="218"/>
      <c r="E39" s="221">
        <f>IF((E24+E25)&lt;E34,E24-E25-E34,0)</f>
        <v>-70</v>
      </c>
      <c r="F39" s="344"/>
      <c r="G39" s="180">
        <v>75</v>
      </c>
      <c r="H39" s="178">
        <f>IF(G39&lt;=100,$D$38*(G39/100),$D$38)</f>
        <v>75</v>
      </c>
      <c r="I39" s="86">
        <f>IF(G39&gt;100,"%&gt;100","")</f>
      </c>
      <c r="J39" s="333"/>
    </row>
    <row r="40" spans="1:10" ht="15.75" thickBot="1">
      <c r="A40" s="332"/>
      <c r="B40" s="175" t="s">
        <v>239</v>
      </c>
      <c r="C40" s="101"/>
      <c r="D40" s="218"/>
      <c r="E40" s="221">
        <f>IF((E24+E25)&gt;E35,E24+E25-E35,0)</f>
        <v>0</v>
      </c>
      <c r="F40" s="344"/>
      <c r="G40" s="181">
        <v>100</v>
      </c>
      <c r="H40" s="179">
        <f>IF(G40&lt;=100,$D$38*(G40/100),$D$38)</f>
        <v>100</v>
      </c>
      <c r="I40" s="90">
        <f>IF(G40&gt;100,"%&gt;100","")</f>
      </c>
      <c r="J40" s="333"/>
    </row>
    <row r="41" spans="1:10" ht="15.75">
      <c r="A41" s="332"/>
      <c r="B41" s="175" t="s">
        <v>133</v>
      </c>
      <c r="C41" s="101"/>
      <c r="D41" s="221">
        <f>IF(D32&lt;D38,0,D32-D38)</f>
        <v>0</v>
      </c>
      <c r="E41" s="221">
        <f>IF(E32&lt;E38,0,E32-E38)</f>
        <v>0</v>
      </c>
      <c r="F41" s="344"/>
      <c r="G41" s="337" t="s">
        <v>286</v>
      </c>
      <c r="H41" s="338"/>
      <c r="I41" s="339"/>
      <c r="J41" s="252"/>
    </row>
    <row r="42" spans="1:10" ht="15">
      <c r="A42" s="332"/>
      <c r="B42" s="175" t="s">
        <v>132</v>
      </c>
      <c r="C42" s="101"/>
      <c r="D42" s="218"/>
      <c r="E42" s="221">
        <f>IF(E26&gt;=E36,E26-E36,0)</f>
        <v>0</v>
      </c>
      <c r="F42" s="344"/>
      <c r="G42" s="255">
        <v>360</v>
      </c>
      <c r="H42" s="256">
        <f>IF(G42&gt;1,IF(G42-DEGREES(PI())&gt;1,G42-DEGREES(PI()),DEGREES(PI())+G42),"")</f>
        <v>180</v>
      </c>
      <c r="I42" s="257">
        <f>IF(G42&gt;360,"&gt;360","")</f>
      </c>
      <c r="J42" s="252"/>
    </row>
    <row r="43" spans="1:10" ht="15">
      <c r="A43" s="332"/>
      <c r="B43" s="175" t="s">
        <v>68</v>
      </c>
      <c r="C43" s="101"/>
      <c r="D43" s="222" t="str">
        <f>IF(I17&gt;0,IF($D$38&gt;$D$32,"OK","EJ OK"),"Ej Beräkn")</f>
        <v>Ej Beräkn</v>
      </c>
      <c r="E43" s="172" t="str">
        <f>IF(I17&gt;0,IF(AND(E39=0,E40=0,E41=0,E42=0),"OK","EJ OK"),"Ej Beräkn")</f>
        <v>Ej Beräkn</v>
      </c>
      <c r="F43" s="342">
        <f>IF(AND(D43="OK",E43="OK")," Till flik driftplan","")</f>
      </c>
      <c r="G43" s="342"/>
      <c r="H43" s="340">
        <f ca="1">NOW()</f>
        <v>43688.41559293981</v>
      </c>
      <c r="I43" s="340"/>
      <c r="J43" s="123"/>
    </row>
    <row r="44" spans="1:10" ht="9.75" customHeight="1">
      <c r="A44" s="253"/>
      <c r="B44" s="254"/>
      <c r="C44" s="254"/>
      <c r="D44" s="254"/>
      <c r="E44" s="254"/>
      <c r="F44" s="343"/>
      <c r="G44" s="343"/>
      <c r="H44" s="341"/>
      <c r="I44" s="341"/>
      <c r="J44" s="123"/>
    </row>
    <row r="45" spans="1:10" ht="15.75">
      <c r="A45" s="329" t="s">
        <v>2</v>
      </c>
      <c r="B45" s="330"/>
      <c r="C45" s="330"/>
      <c r="D45" s="330"/>
      <c r="E45" s="330"/>
      <c r="F45" s="330"/>
      <c r="G45" s="330"/>
      <c r="H45" s="330"/>
      <c r="I45" s="331"/>
      <c r="J45" s="123"/>
    </row>
    <row r="46" spans="1:10" ht="15">
      <c r="A46" s="326"/>
      <c r="B46" s="328"/>
      <c r="C46" s="326"/>
      <c r="D46" s="327"/>
      <c r="E46" s="327"/>
      <c r="F46" s="327"/>
      <c r="G46" s="327"/>
      <c r="H46" s="327"/>
      <c r="I46" s="328"/>
      <c r="J46" s="123"/>
    </row>
    <row r="47" spans="1:10" ht="15">
      <c r="A47" s="326"/>
      <c r="B47" s="328"/>
      <c r="C47" s="326"/>
      <c r="D47" s="327"/>
      <c r="E47" s="327"/>
      <c r="F47" s="327"/>
      <c r="G47" s="327"/>
      <c r="H47" s="327"/>
      <c r="I47" s="328"/>
      <c r="J47" s="123"/>
    </row>
    <row r="48" spans="1:10" ht="15">
      <c r="A48" s="326"/>
      <c r="B48" s="328"/>
      <c r="C48" s="326"/>
      <c r="D48" s="327"/>
      <c r="E48" s="327"/>
      <c r="F48" s="327"/>
      <c r="G48" s="327"/>
      <c r="H48" s="327"/>
      <c r="I48" s="328"/>
      <c r="J48" s="123"/>
    </row>
    <row r="49" spans="1:10" ht="15">
      <c r="A49" s="326"/>
      <c r="B49" s="328"/>
      <c r="C49" s="326"/>
      <c r="D49" s="327"/>
      <c r="E49" s="327"/>
      <c r="F49" s="327"/>
      <c r="G49" s="327"/>
      <c r="H49" s="327"/>
      <c r="I49" s="328"/>
      <c r="J49" s="123"/>
    </row>
    <row r="50" spans="1:10" ht="15">
      <c r="A50" s="326"/>
      <c r="B50" s="328"/>
      <c r="C50" s="326"/>
      <c r="D50" s="327"/>
      <c r="E50" s="327"/>
      <c r="F50" s="327"/>
      <c r="G50" s="327"/>
      <c r="H50" s="327"/>
      <c r="I50" s="328"/>
      <c r="J50" s="123"/>
    </row>
    <row r="51" spans="1:10" ht="7.5" customHeight="1">
      <c r="A51" s="122"/>
      <c r="B51" s="28"/>
      <c r="C51" s="28"/>
      <c r="D51" s="28"/>
      <c r="E51" s="28"/>
      <c r="F51" s="28"/>
      <c r="G51" s="28"/>
      <c r="H51" s="28"/>
      <c r="I51" s="28"/>
      <c r="J51" s="123"/>
    </row>
    <row r="52" spans="1:10" s="305" customFormat="1" ht="15">
      <c r="A52" s="132" t="s">
        <v>297</v>
      </c>
      <c r="B52" s="161"/>
      <c r="C52" s="161"/>
      <c r="D52" s="161"/>
      <c r="E52" s="161"/>
      <c r="F52" s="117" t="str">
        <f>Utgåva!A25</f>
        <v>Utgåva</v>
      </c>
      <c r="G52" s="118" t="str">
        <f>Utgåva!A26</f>
        <v>KSFK 4</v>
      </c>
      <c r="H52" s="119"/>
      <c r="I52" s="161"/>
      <c r="J52" s="162"/>
    </row>
    <row r="53" spans="1:10" ht="7.5" customHeight="1">
      <c r="A53" s="163"/>
      <c r="B53" s="5"/>
      <c r="C53" s="5"/>
      <c r="D53" s="5"/>
      <c r="E53" s="5"/>
      <c r="F53" s="5"/>
      <c r="G53" s="5"/>
      <c r="H53" s="5"/>
      <c r="I53" s="5"/>
      <c r="J53" s="114"/>
    </row>
    <row r="54" ht="15">
      <c r="A54" s="8"/>
    </row>
    <row r="55" ht="15">
      <c r="A55" s="8"/>
    </row>
    <row r="56" ht="15">
      <c r="A56" s="8"/>
    </row>
    <row r="72" ht="15" customHeight="1"/>
    <row r="73" ht="15" customHeight="1"/>
    <row r="74" ht="15" customHeight="1"/>
    <row r="75" ht="15" customHeight="1"/>
  </sheetData>
  <sheetProtection sheet="1" objects="1" scenarios="1"/>
  <mergeCells count="36">
    <mergeCell ref="A21:J21"/>
    <mergeCell ref="A19:I19"/>
    <mergeCell ref="A5:J5"/>
    <mergeCell ref="D16:H16"/>
    <mergeCell ref="A18:H18"/>
    <mergeCell ref="A20:G20"/>
    <mergeCell ref="D17:H17"/>
    <mergeCell ref="C49:I49"/>
    <mergeCell ref="A23:A43"/>
    <mergeCell ref="J23:J40"/>
    <mergeCell ref="B33:E33"/>
    <mergeCell ref="G30:I30"/>
    <mergeCell ref="G41:I41"/>
    <mergeCell ref="H43:I44"/>
    <mergeCell ref="F43:G44"/>
    <mergeCell ref="F23:F42"/>
    <mergeCell ref="C50:I50"/>
    <mergeCell ref="A45:I45"/>
    <mergeCell ref="C46:I46"/>
    <mergeCell ref="C47:I47"/>
    <mergeCell ref="A50:B50"/>
    <mergeCell ref="A48:B48"/>
    <mergeCell ref="A49:B49"/>
    <mergeCell ref="A47:B47"/>
    <mergeCell ref="C48:I48"/>
    <mergeCell ref="A46:B46"/>
    <mergeCell ref="B22:E22"/>
    <mergeCell ref="G22:I22"/>
    <mergeCell ref="A1:I1"/>
    <mergeCell ref="A2:I2"/>
    <mergeCell ref="E4:G4"/>
    <mergeCell ref="A6:B6"/>
    <mergeCell ref="E6:I6"/>
    <mergeCell ref="C6:D6"/>
    <mergeCell ref="A3:J3"/>
    <mergeCell ref="J6:J20"/>
  </mergeCells>
  <conditionalFormatting sqref="I37">
    <cfRule type="expression" priority="1" dxfId="1" stopIfTrue="1">
      <formula>G37&gt;100</formula>
    </cfRule>
  </conditionalFormatting>
  <conditionalFormatting sqref="I38:I40">
    <cfRule type="expression" priority="2" dxfId="1" stopIfTrue="1">
      <formula>G38&gt;100</formula>
    </cfRule>
  </conditionalFormatting>
  <conditionalFormatting sqref="B43">
    <cfRule type="expression" priority="3" dxfId="2" stopIfTrue="1">
      <formula>$D$41+E$41=0</formula>
    </cfRule>
    <cfRule type="expression" priority="4" dxfId="1" stopIfTrue="1">
      <formula>$D$43="EJ OK"</formula>
    </cfRule>
    <cfRule type="expression" priority="5" dxfId="1" stopIfTrue="1">
      <formula>$E$43="EJ OK"</formula>
    </cfRule>
  </conditionalFormatting>
  <conditionalFormatting sqref="I42">
    <cfRule type="expression" priority="6" dxfId="1" stopIfTrue="1">
      <formula>G42&gt;360</formula>
    </cfRule>
  </conditionalFormatting>
  <conditionalFormatting sqref="D41 E40:E42">
    <cfRule type="cellIs" priority="7" dxfId="1" operator="greaterThan" stopIfTrue="1">
      <formula>0</formula>
    </cfRule>
  </conditionalFormatting>
  <conditionalFormatting sqref="B41">
    <cfRule type="expression" priority="8" dxfId="0" stopIfTrue="1">
      <formula>$E$41&gt;=1</formula>
    </cfRule>
    <cfRule type="expression" priority="9" dxfId="0" stopIfTrue="1">
      <formula>$D$41&gt;=1</formula>
    </cfRule>
  </conditionalFormatting>
  <conditionalFormatting sqref="B42">
    <cfRule type="expression" priority="10" dxfId="0" stopIfTrue="1">
      <formula>$E$42&gt;=1</formula>
    </cfRule>
    <cfRule type="expression" priority="11" dxfId="0" stopIfTrue="1">
      <formula>$D$42&gt;=1</formula>
    </cfRule>
  </conditionalFormatting>
  <conditionalFormatting sqref="E39">
    <cfRule type="cellIs" priority="12" dxfId="1" operator="lessThan" stopIfTrue="1">
      <formula>0</formula>
    </cfRule>
  </conditionalFormatting>
  <conditionalFormatting sqref="B39">
    <cfRule type="expression" priority="13" dxfId="0" stopIfTrue="1">
      <formula>$E$39&lt;=-1</formula>
    </cfRule>
  </conditionalFormatting>
  <conditionalFormatting sqref="D37">
    <cfRule type="cellIs" priority="14" dxfId="0" operator="lessThanOrEqual" stopIfTrue="1">
      <formula>-1</formula>
    </cfRule>
  </conditionalFormatting>
  <conditionalFormatting sqref="B37">
    <cfRule type="expression" priority="15" dxfId="0" stopIfTrue="1">
      <formula>$D$37&lt;=-1</formula>
    </cfRule>
  </conditionalFormatting>
  <conditionalFormatting sqref="G37:G40">
    <cfRule type="cellIs" priority="16" dxfId="0" operator="greaterThan" stopIfTrue="1">
      <formula>100</formula>
    </cfRule>
  </conditionalFormatting>
  <conditionalFormatting sqref="B40">
    <cfRule type="expression" priority="17" dxfId="0" stopIfTrue="1">
      <formula>$E$40&gt;=1</formula>
    </cfRule>
  </conditionalFormatting>
  <conditionalFormatting sqref="D9:D15 G42">
    <cfRule type="cellIs" priority="18" dxfId="0" operator="greaterThan" stopIfTrue="1">
      <formula>360</formula>
    </cfRule>
  </conditionalFormatting>
  <conditionalFormatting sqref="C4">
    <cfRule type="cellIs" priority="19" dxfId="19" operator="equal" stopIfTrue="1">
      <formula>0</formula>
    </cfRule>
  </conditionalFormatting>
  <conditionalFormatting sqref="G9:G15">
    <cfRule type="expression" priority="20" dxfId="19" stopIfTrue="1">
      <formula>$C$4=0</formula>
    </cfRule>
  </conditionalFormatting>
  <conditionalFormatting sqref="C9:C15 E9:E15 E25:E26">
    <cfRule type="cellIs" priority="21" dxfId="0" operator="lessThan" stopIfTrue="1">
      <formula>0</formula>
    </cfRule>
  </conditionalFormatting>
  <conditionalFormatting sqref="F9:F15">
    <cfRule type="cellIs" priority="22" dxfId="0" operator="greaterThan" stopIfTrue="1">
      <formula>360</formula>
    </cfRule>
    <cfRule type="cellIs" priority="23" dxfId="0" operator="lessThan" stopIfTrue="1">
      <formula>0</formula>
    </cfRule>
  </conditionalFormatting>
  <conditionalFormatting sqref="E24">
    <cfRule type="cellIs" priority="24" dxfId="0" operator="lessThan" stopIfTrue="1">
      <formula>0</formula>
    </cfRule>
    <cfRule type="expression" priority="25" dxfId="19" stopIfTrue="1">
      <formula>$E$24=""</formula>
    </cfRule>
  </conditionalFormatting>
  <conditionalFormatting sqref="D43:E43">
    <cfRule type="cellIs" priority="26" dxfId="44" operator="equal" stopIfTrue="1">
      <formula>"OK"</formula>
    </cfRule>
    <cfRule type="cellIs" priority="27" dxfId="45" operator="equal" stopIfTrue="1">
      <formula>"EJ OK"</formula>
    </cfRule>
    <cfRule type="cellIs" priority="28" dxfId="0" operator="equal" stopIfTrue="1">
      <formula>"Ej Beräkn"</formula>
    </cfRule>
  </conditionalFormatting>
  <dataValidations count="29">
    <dataValidation allowBlank="1" showInputMessage="1" showErrorMessage="1" prompt="Skrivskyddat fält" sqref="D42 C8:H8 C24:D26 G27:G29 I34 H35 I37:I40 C34:E35 E36:E40 C36:D36 C37:C43 C28 C31:E32 D38:D40 D17 C16 I42"/>
    <dataValidation allowBlank="1" showInputMessage="1" showErrorMessage="1" prompt="Skrivskyddat fält&#10;Automatisk beräkning" sqref="D41 H20:I20 I17:I18 E41:E42 D37 C27:E27 D28:E28 C29 E29 C30:E30 G34:G35 I25 H29 I28 H26 G25:G26 H24:I24 H33:I33 H37:H40 C17 H9:I15 H42"/>
    <dataValidation allowBlank="1" showInputMessage="1" showErrorMessage="1" prompt="Skriv in den tid du tror ta från:&#10;Ha motorn igång, taxa och starta &#10;tills du börjar resa mot målet dvs 300m&#10;Normalberäkning 10min&#10;Mer bränsle med högre varvtal&#10;Tänk också på yttre förhållanden som tex vinter, kallt, besvärliga taxibanor som ex" sqref="I8"/>
    <dataValidation allowBlank="1" showInputMessage="1" showErrorMessage="1" prompt="Skriv in den tid du tror ta från:&#10;Kommit fram, landa samt taxa, dvs från 300m &#10;Mindrebränsle med mindre varvtal&#10;Normaltid 5min&#10;" sqref="I16"/>
    <dataValidation allowBlank="1" showInputMessage="1" showErrorMessage="1" prompt="Beräknad bränsleåtgång&#10;enl. flyghandbok" sqref="H4"/>
    <dataValidation allowBlank="1" showInputMessage="1" showErrorMessage="1" prompt="Flygfältet" sqref="B8 B16"/>
    <dataValidation allowBlank="1" showInputMessage="1" showErrorMessage="1" prompt="Till &#10;Flygfält /&#10;brytpunkt" sqref="B9:B15"/>
    <dataValidation allowBlank="1" showInputMessage="1" showErrorMessage="1" prompt="Förares &#10;vikt i kg&#10;inkl kläder&#10;&#10;Om fältet är knallgult&#10;saknas uppgift" sqref="E24"/>
    <dataValidation allowBlank="1" showInputMessage="1" showErrorMessage="1" prompt="Passagerares &#10;vikt i kg&#10;inkl kläder" sqref="E25"/>
    <dataValidation allowBlank="1" showInputMessage="1" showErrorMessage="1" prompt="Bagagevikt&#10;kg" sqref="E26"/>
    <dataValidation allowBlank="1" showInputMessage="1" showErrorMessage="1" prompt="Ange den extrabränsle du avser tanka i" sqref="D29"/>
    <dataValidation allowBlank="1" showInputMessage="1" showErrorMessage="1" prompt="Skriv&#10;antal m/s" sqref="G24"/>
    <dataValidation allowBlank="1" showInputMessage="1" showErrorMessage="1" prompt="Skriv&#10;hastighet i km/h" sqref="H25"/>
    <dataValidation allowBlank="1" showInputMessage="1" showErrorMessage="1" prompt="Skriv&#10;hastighet i knop" sqref="I26"/>
    <dataValidation allowBlank="1" showInputMessage="1" showErrorMessage="1" prompt="Skriv&#10;antalet m" sqref="H28"/>
    <dataValidation allowBlank="1" showInputMessage="1" showErrorMessage="1" prompt="Skriv&#10;antalet foot" sqref="I29"/>
    <dataValidation allowBlank="1" showInputMessage="1" showErrorMessage="1" prompt="Skriv&#10;antalet cm" sqref="G33"/>
    <dataValidation allowBlank="1" showInputMessage="1" showErrorMessage="1" prompt="Skriv&#10;antalet km" sqref="H34 I35"/>
    <dataValidation allowBlank="1" showInputMessage="1" showErrorMessage="1" prompt="Skriv&#10;valfri &#10;1-100%" sqref="G37:G40"/>
    <dataValidation allowBlank="1" showInputMessage="1" showErrorMessage="1" prompt="Egna anteckningar" sqref="C46:C50 A46:A50"/>
    <dataValidation allowBlank="1" showInputMessage="1" showErrorMessage="1" prompt="Skriv&#10;uppmätt&#10;sträcka i km" sqref="C9:C15"/>
    <dataValidation allowBlank="1" showInputMessage="1" showErrorMessage="1" prompt="Ange färdvinkel i grader&#10;1-360" sqref="D9:D15"/>
    <dataValidation allowBlank="1" showInputMessage="1" showErrorMessage="1" prompt="Ange vind i km/h&#10;på den höjd du avser att åka på" sqref="E9:E15"/>
    <dataValidation allowBlank="1" showInputMessage="1" showErrorMessage="1" prompt="Ange vindriktning i grader&#10;1-360&#10;på den höjd du avser att åka på" sqref="F9:F15"/>
    <dataValidation allowBlank="1" showInputMessage="1" showErrorMessage="1" prompt="Skriv den beräknade marschfarten du ska åka med&#10;&#10;Om fältet är knallgult saknas uppgift" sqref="C4"/>
    <dataValidation allowBlank="1" showInputMessage="1" showErrorMessage="1" prompt="Befälhavarens namn" sqref="E6:I6"/>
    <dataValidation allowBlank="1" showInputMessage="1" showErrorMessage="1" prompt="Skrivskyddat fält&#10;Automatisk beräkning&#10;OK =&gt; Rätt&#10;&#10;EJ OK =&gt; Räkna om&#10;eller&#10;Data saknas" sqref="D43:E43"/>
    <dataValidation allowBlank="1" showInputMessage="1" showErrorMessage="1" prompt="Skrivskyddat fält&#10;Automatisk beräkning&#10;&#10;Om knallgult fält&#10;Marchfart saknas" sqref="G9:G15"/>
    <dataValidation allowBlank="1" showInputMessage="1" showErrorMessage="1" prompt="Skriv&#10;valfri 1-360 (grader)&#10;och du får motsatt kurs i grader &#10;i fältet bredvid" sqref="G42"/>
  </dataValidations>
  <hyperlinks>
    <hyperlink ref="F43:G44" location="'Driftplan, manuell eller auto'!A1" display="'Driftplan, manuell eller auto'!A1"/>
  </hyperlinks>
  <printOptions/>
  <pageMargins left="0.74" right="0.2755905511811024" top="0.82" bottom="0.47" header="0.46" footer="0"/>
  <pageSetup fitToHeight="1" fitToWidth="1" horizontalDpi="400" verticalDpi="400" orientation="portrait" paperSize="9" scale="84" r:id="rId2"/>
  <headerFooter alignWithMargins="0">
    <oddHeader>&amp;L&amp;"Arial,Fet"Segelflyget&amp;R&amp;D</oddHeader>
    <oddFooter>&amp;L&amp;8&amp;A&amp;C&amp;8&amp;P  ( &amp;N )&amp;R&amp;8&amp;F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BK50"/>
  <sheetViews>
    <sheetView tabSelected="1" zoomScale="85" zoomScaleNormal="85" zoomScalePageLayoutView="0" workbookViewId="0" topLeftCell="A7">
      <selection activeCell="A29" sqref="A29:B29"/>
    </sheetView>
  </sheetViews>
  <sheetFormatPr defaultColWidth="9.140625" defaultRowHeight="12.75"/>
  <cols>
    <col min="1" max="1" width="3.7109375" style="7" customWidth="1"/>
    <col min="2" max="2" width="20.7109375" style="7" customWidth="1"/>
    <col min="3" max="3" width="6.7109375" style="7" customWidth="1"/>
    <col min="4" max="4" width="7.7109375" style="7" customWidth="1"/>
    <col min="5" max="5" width="9.7109375" style="7" customWidth="1"/>
    <col min="6" max="6" width="7.140625" style="7" customWidth="1"/>
    <col min="7" max="7" width="6.140625" style="7" customWidth="1"/>
    <col min="8" max="8" width="11.8515625" style="7" customWidth="1"/>
    <col min="9" max="9" width="1.7109375" style="7" customWidth="1"/>
    <col min="10" max="10" width="8.7109375" style="7" customWidth="1"/>
    <col min="11" max="11" width="6.57421875" style="7" customWidth="1"/>
    <col min="12" max="12" width="7.7109375" style="7" customWidth="1"/>
    <col min="13" max="13" width="9.140625" style="7" customWidth="1"/>
    <col min="14" max="14" width="10.7109375" style="7" customWidth="1"/>
    <col min="15" max="17" width="10.7109375" style="7" hidden="1" customWidth="1"/>
    <col min="18" max="18" width="10.7109375" style="261" hidden="1" customWidth="1"/>
    <col min="19" max="20" width="10.7109375" style="7" hidden="1" customWidth="1"/>
    <col min="21" max="21" width="10.7109375" style="7" customWidth="1"/>
    <col min="22" max="22" width="10.421875" style="7" bestFit="1" customWidth="1"/>
    <col min="23" max="16384" width="9.140625" style="7" customWidth="1"/>
  </cols>
  <sheetData>
    <row r="1" spans="1:12" ht="15.75">
      <c r="A1" s="310" t="str">
        <f>Readme!B1</f>
        <v>Driftfärdplan Grob G 109B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87"/>
    </row>
    <row r="2" spans="1:12" ht="15.75">
      <c r="A2" s="312" t="str">
        <f>Readme!B2</f>
        <v>SE-UAB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88"/>
    </row>
    <row r="3" spans="1:12" ht="9.75" customHeight="1">
      <c r="A3" s="108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24"/>
    </row>
    <row r="4" spans="1:18" s="225" customFormat="1" ht="15.75" customHeight="1">
      <c r="A4" s="400" t="str">
        <f>CONCATENATE(Planering!B4,"i ",Planering!D4," = ")</f>
        <v>Beräknad marschfart TAS i km/h = </v>
      </c>
      <c r="B4" s="401"/>
      <c r="C4" s="401"/>
      <c r="D4" s="401"/>
      <c r="E4" s="227">
        <f>IF(Planering!C4&gt;0,Planering!C4,"")</f>
        <v>150</v>
      </c>
      <c r="F4" s="226"/>
      <c r="G4" s="226"/>
      <c r="H4" s="226"/>
      <c r="I4" s="226"/>
      <c r="J4" s="226"/>
      <c r="K4" s="402">
        <f ca="1">NOW()</f>
        <v>43688.41559293981</v>
      </c>
      <c r="L4" s="403"/>
      <c r="R4" s="262"/>
    </row>
    <row r="5" spans="1:18" s="6" customFormat="1" ht="15.75" customHeight="1">
      <c r="A5" s="405" t="s">
        <v>1</v>
      </c>
      <c r="B5" s="393" t="s">
        <v>71</v>
      </c>
      <c r="C5" s="406" t="s">
        <v>73</v>
      </c>
      <c r="D5" s="407"/>
      <c r="E5" s="393" t="s">
        <v>74</v>
      </c>
      <c r="F5" s="393" t="s">
        <v>119</v>
      </c>
      <c r="G5" s="393" t="s">
        <v>9</v>
      </c>
      <c r="H5" s="397" t="s">
        <v>236</v>
      </c>
      <c r="I5" s="398"/>
      <c r="J5" s="398"/>
      <c r="K5" s="398"/>
      <c r="L5" s="399"/>
      <c r="R5" s="263"/>
    </row>
    <row r="6" spans="1:18" s="6" customFormat="1" ht="15.75" customHeight="1">
      <c r="A6" s="405"/>
      <c r="B6" s="393"/>
      <c r="C6" s="408"/>
      <c r="D6" s="409"/>
      <c r="E6" s="393"/>
      <c r="F6" s="393"/>
      <c r="G6" s="393"/>
      <c r="H6" s="394">
        <f>IF(Planering!E6=0,"",Planering!E6)</f>
      </c>
      <c r="I6" s="395"/>
      <c r="J6" s="395"/>
      <c r="K6" s="395"/>
      <c r="L6" s="396"/>
      <c r="R6" s="263"/>
    </row>
    <row r="7" spans="1:18" s="1" customFormat="1" ht="15.75" customHeight="1">
      <c r="A7" s="405"/>
      <c r="B7" s="393"/>
      <c r="C7" s="410"/>
      <c r="D7" s="411"/>
      <c r="E7" s="393"/>
      <c r="F7" s="393"/>
      <c r="G7" s="393"/>
      <c r="H7" s="389" t="s">
        <v>2</v>
      </c>
      <c r="I7" s="390"/>
      <c r="J7" s="390"/>
      <c r="K7" s="390"/>
      <c r="L7" s="391"/>
      <c r="R7" s="264"/>
    </row>
    <row r="8" spans="1:18" s="1" customFormat="1" ht="15">
      <c r="A8" s="2">
        <v>1</v>
      </c>
      <c r="B8" s="30">
        <f>IF(Planering!B8&gt;0,Planering!B8,"")</f>
      </c>
      <c r="C8" s="412"/>
      <c r="D8" s="413"/>
      <c r="E8" s="91"/>
      <c r="F8" s="91"/>
      <c r="G8" s="31">
        <f>IF(Planering!I8&gt;0,Planering!I8,"")</f>
      </c>
      <c r="H8" s="392"/>
      <c r="I8" s="392"/>
      <c r="J8" s="392"/>
      <c r="K8" s="392"/>
      <c r="L8" s="392"/>
      <c r="R8" s="264"/>
    </row>
    <row r="9" spans="1:18" s="1" customFormat="1" ht="15">
      <c r="A9" s="2">
        <v>2</v>
      </c>
      <c r="B9" s="30">
        <f>IF(Planering!B9&gt;0,Planering!B9,"")</f>
      </c>
      <c r="C9" s="374">
        <f>IF(Planering!C9&gt;0,Planering!C9,"")</f>
      </c>
      <c r="D9" s="375"/>
      <c r="E9" s="31">
        <f>IF(Planering!D9&gt;0,Planering!D9,"")</f>
      </c>
      <c r="F9" s="32">
        <f>IF(Planering!G9&gt;0,Planering!G9,"")</f>
      </c>
      <c r="G9" s="31">
        <f>IF(Planering!I9&gt;0,Planering!I9,"")</f>
      </c>
      <c r="H9" s="404"/>
      <c r="I9" s="404"/>
      <c r="J9" s="404"/>
      <c r="K9" s="404"/>
      <c r="L9" s="404"/>
      <c r="R9" s="264"/>
    </row>
    <row r="10" spans="1:18" s="1" customFormat="1" ht="15">
      <c r="A10" s="2">
        <v>3</v>
      </c>
      <c r="B10" s="30">
        <f>IF(Planering!B10&gt;0,Planering!B10,"")</f>
      </c>
      <c r="C10" s="374">
        <f>IF(Planering!C10&gt;0,Planering!C10,"")</f>
      </c>
      <c r="D10" s="375"/>
      <c r="E10" s="31">
        <f>IF(Planering!D10&gt;0,Planering!D10,"")</f>
      </c>
      <c r="F10" s="32">
        <f>IF(Planering!G10&gt;0,Planering!G10,"")</f>
      </c>
      <c r="G10" s="31">
        <f>IF(Planering!I10&gt;0,Planering!I10,"")</f>
      </c>
      <c r="H10" s="404"/>
      <c r="I10" s="404"/>
      <c r="J10" s="404"/>
      <c r="K10" s="404"/>
      <c r="L10" s="404"/>
      <c r="R10" s="264"/>
    </row>
    <row r="11" spans="1:18" s="1" customFormat="1" ht="15">
      <c r="A11" s="2">
        <v>4</v>
      </c>
      <c r="B11" s="30">
        <f>IF(Planering!B11&gt;0,Planering!B11,"")</f>
      </c>
      <c r="C11" s="374">
        <f>IF(Planering!C11&gt;0,Planering!C11,"")</f>
      </c>
      <c r="D11" s="375"/>
      <c r="E11" s="31">
        <f>IF(Planering!D11&gt;0,Planering!D11,"")</f>
      </c>
      <c r="F11" s="32">
        <f>IF(Planering!G11&gt;0,Planering!G11,"")</f>
      </c>
      <c r="G11" s="31">
        <f>IF(Planering!I11&gt;0,Planering!I11,"")</f>
      </c>
      <c r="H11" s="404"/>
      <c r="I11" s="404"/>
      <c r="J11" s="404"/>
      <c r="K11" s="404"/>
      <c r="L11" s="404"/>
      <c r="R11" s="264"/>
    </row>
    <row r="12" spans="1:18" s="1" customFormat="1" ht="15">
      <c r="A12" s="2">
        <v>5</v>
      </c>
      <c r="B12" s="30">
        <f>IF(Planering!B12&gt;0,Planering!B12,"")</f>
      </c>
      <c r="C12" s="374">
        <f>IF(Planering!C12&gt;0,Planering!C12,"")</f>
      </c>
      <c r="D12" s="375"/>
      <c r="E12" s="31">
        <f>IF(Planering!D12&gt;0,Planering!D12,"")</f>
      </c>
      <c r="F12" s="32">
        <f>IF(Planering!G12&gt;0,Planering!G12,"")</f>
      </c>
      <c r="G12" s="31">
        <f>IF(Planering!I12&gt;0,Planering!I12,"")</f>
      </c>
      <c r="H12" s="404"/>
      <c r="I12" s="404"/>
      <c r="J12" s="404"/>
      <c r="K12" s="404"/>
      <c r="L12" s="404"/>
      <c r="R12" s="264"/>
    </row>
    <row r="13" spans="1:18" s="1" customFormat="1" ht="15">
      <c r="A13" s="2">
        <v>6</v>
      </c>
      <c r="B13" s="30">
        <f>IF(Planering!B13&gt;0,Planering!B13,"")</f>
      </c>
      <c r="C13" s="374">
        <f>IF(Planering!C13&gt;0,Planering!C13,"")</f>
      </c>
      <c r="D13" s="375"/>
      <c r="E13" s="31">
        <f>IF(Planering!D13&gt;0,Planering!D13,"")</f>
      </c>
      <c r="F13" s="32">
        <f>IF(Planering!G13&gt;0,Planering!G13,"")</f>
      </c>
      <c r="G13" s="31">
        <f>IF(Planering!I13&gt;0,Planering!I13,"")</f>
      </c>
      <c r="H13" s="404"/>
      <c r="I13" s="404"/>
      <c r="J13" s="404"/>
      <c r="K13" s="404"/>
      <c r="L13" s="404"/>
      <c r="R13" s="264"/>
    </row>
    <row r="14" spans="1:18" s="1" customFormat="1" ht="15">
      <c r="A14" s="2">
        <v>7</v>
      </c>
      <c r="B14" s="30">
        <f>IF(Planering!B14&gt;0,Planering!B14,"")</f>
      </c>
      <c r="C14" s="374">
        <f>IF(Planering!C14&gt;0,Planering!C14,"")</f>
      </c>
      <c r="D14" s="375"/>
      <c r="E14" s="31">
        <f>IF(Planering!D14&gt;0,Planering!D14,"")</f>
      </c>
      <c r="F14" s="32">
        <f>IF(Planering!G14&gt;0,Planering!G14,"")</f>
      </c>
      <c r="G14" s="31">
        <f>IF(Planering!I14&gt;0,Planering!I14,"")</f>
      </c>
      <c r="H14" s="404"/>
      <c r="I14" s="404"/>
      <c r="J14" s="404"/>
      <c r="K14" s="404"/>
      <c r="L14" s="404"/>
      <c r="R14" s="264"/>
    </row>
    <row r="15" spans="1:18" s="1" customFormat="1" ht="15">
      <c r="A15" s="2">
        <v>8</v>
      </c>
      <c r="B15" s="30">
        <f>IF(Planering!B15&gt;0,Planering!B15,"")</f>
      </c>
      <c r="C15" s="414"/>
      <c r="D15" s="415"/>
      <c r="E15" s="91"/>
      <c r="F15" s="91"/>
      <c r="G15" s="31">
        <f>IF(Planering!I15&gt;0,Planering!I15,"")</f>
      </c>
      <c r="H15" s="404"/>
      <c r="I15" s="404"/>
      <c r="J15" s="404"/>
      <c r="K15" s="404"/>
      <c r="L15" s="404"/>
      <c r="R15" s="264"/>
    </row>
    <row r="16" spans="1:18" s="1" customFormat="1" ht="15">
      <c r="A16" s="433" t="s">
        <v>205</v>
      </c>
      <c r="B16" s="435"/>
      <c r="C16" s="438">
        <f>IF(SUM(C8:C15)=0,"",SUM(C8:C15))</f>
      </c>
      <c r="D16" s="439"/>
      <c r="E16" s="190" t="s">
        <v>4</v>
      </c>
      <c r="F16" s="468">
        <f>IF(SUM(G8:G15)=0,"",SUM(G8:G15))</f>
      </c>
      <c r="G16" s="469"/>
      <c r="H16" s="190" t="s">
        <v>3</v>
      </c>
      <c r="I16" s="459">
        <f>IF(Planering!F16&lt;0,F16/60,"")</f>
      </c>
      <c r="J16" s="460"/>
      <c r="K16" s="461" t="s">
        <v>7</v>
      </c>
      <c r="L16" s="462"/>
      <c r="P16" s="265"/>
      <c r="R16" s="264"/>
    </row>
    <row r="17" spans="1:22" s="168" customFormat="1" ht="15.75">
      <c r="A17" s="463" t="s">
        <v>260</v>
      </c>
      <c r="B17" s="464"/>
      <c r="C17" s="464"/>
      <c r="D17" s="464"/>
      <c r="E17" s="464"/>
      <c r="F17" s="464"/>
      <c r="G17" s="465"/>
      <c r="H17" s="169">
        <f>IF(Planering!P17&gt;0,CONCATENATE(Planering!P17," tim"),"")</f>
      </c>
      <c r="I17" s="466">
        <f>IF(Planering!Q17&gt;0,CONCATENATE(ROUND(Planering!Q17,0)," min"),"")</f>
      </c>
      <c r="J17" s="467"/>
      <c r="K17" s="166"/>
      <c r="L17" s="167"/>
      <c r="R17" s="266"/>
      <c r="V17" s="267"/>
    </row>
    <row r="18" spans="1:30" s="1" customFormat="1" ht="15.75">
      <c r="A18" s="433" t="s">
        <v>253</v>
      </c>
      <c r="B18" s="434"/>
      <c r="C18" s="434"/>
      <c r="D18" s="434"/>
      <c r="E18" s="434"/>
      <c r="F18" s="434"/>
      <c r="G18" s="434"/>
      <c r="H18" s="435"/>
      <c r="I18" s="441">
        <f>Planering!C32</f>
        <v>0.75</v>
      </c>
      <c r="J18" s="442"/>
      <c r="K18" s="431" t="s">
        <v>204</v>
      </c>
      <c r="L18" s="432"/>
      <c r="R18" s="264"/>
      <c r="U18" s="358" t="s">
        <v>288</v>
      </c>
      <c r="V18" s="358"/>
      <c r="W18" s="358"/>
      <c r="X18" s="358"/>
      <c r="Y18" s="358"/>
      <c r="Z18" s="358"/>
      <c r="AA18" s="358"/>
      <c r="AB18" s="358"/>
      <c r="AC18" s="358"/>
      <c r="AD18" s="358"/>
    </row>
    <row r="19" spans="1:18" s="1" customFormat="1" ht="4.5" customHeight="1">
      <c r="A19" s="444"/>
      <c r="B19" s="445"/>
      <c r="C19" s="445"/>
      <c r="D19" s="445"/>
      <c r="E19" s="445"/>
      <c r="F19" s="445"/>
      <c r="G19" s="445"/>
      <c r="H19" s="445"/>
      <c r="I19" s="445"/>
      <c r="J19" s="445"/>
      <c r="K19" s="445"/>
      <c r="L19" s="446"/>
      <c r="R19" s="264"/>
    </row>
    <row r="20" spans="1:30" s="28" customFormat="1" ht="15.75" customHeight="1">
      <c r="A20" s="323" t="s">
        <v>235</v>
      </c>
      <c r="B20" s="324"/>
      <c r="C20" s="379" t="str">
        <f>'Grunddata flpl'!B13</f>
        <v>Hjelmco UL 91/96</v>
      </c>
      <c r="D20" s="379"/>
      <c r="E20" s="379"/>
      <c r="F20" s="443" t="s">
        <v>234</v>
      </c>
      <c r="G20" s="443"/>
      <c r="H20" s="443"/>
      <c r="I20" s="379" t="str">
        <f>'Grunddata flpl'!B14</f>
        <v>RON 95</v>
      </c>
      <c r="J20" s="379"/>
      <c r="K20" s="379"/>
      <c r="L20" s="380"/>
      <c r="O20" s="268"/>
      <c r="P20" s="268"/>
      <c r="Q20" s="268"/>
      <c r="R20" s="269" t="s">
        <v>59</v>
      </c>
      <c r="S20" s="268"/>
      <c r="T20" s="268"/>
      <c r="U20" s="358" t="s">
        <v>287</v>
      </c>
      <c r="V20" s="358"/>
      <c r="W20" s="358"/>
      <c r="X20" s="358"/>
      <c r="Y20" s="358"/>
      <c r="Z20" s="358"/>
      <c r="AA20" s="358"/>
      <c r="AB20" s="358"/>
      <c r="AC20" s="358"/>
      <c r="AD20" s="358"/>
    </row>
    <row r="21" spans="1:20" s="1" customFormat="1" ht="4.5" customHeight="1">
      <c r="A21" s="384"/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6"/>
      <c r="O21" s="270"/>
      <c r="P21" s="270"/>
      <c r="Q21" s="270"/>
      <c r="R21" s="271"/>
      <c r="S21" s="270"/>
      <c r="T21" s="270"/>
    </row>
    <row r="22" spans="1:30" s="8" customFormat="1" ht="15.75" customHeight="1">
      <c r="A22" s="447" t="s">
        <v>281</v>
      </c>
      <c r="B22" s="427"/>
      <c r="C22" s="427"/>
      <c r="D22" s="427"/>
      <c r="E22" s="428"/>
      <c r="F22" s="38">
        <f>IF(IF(Planering!D27&gt;1,Planering!D32,0)=0,"",IF(Planering!D27&gt;1,Planering!D32,0))</f>
      </c>
      <c r="G22" s="129" t="s">
        <v>254</v>
      </c>
      <c r="H22" s="189">
        <f>IF(F22="","",Planering!D32/Planering!D38)</f>
      </c>
      <c r="I22" s="187"/>
      <c r="J22" s="239" t="s">
        <v>75</v>
      </c>
      <c r="K22" s="383" t="str">
        <f>IF(F22&gt;1,Planering!D43,"")</f>
        <v>Ej Beräkn</v>
      </c>
      <c r="L22" s="383"/>
      <c r="O22" s="270" t="s">
        <v>258</v>
      </c>
      <c r="P22" s="270">
        <f>'Grunddata flpl'!B25</f>
        <v>115</v>
      </c>
      <c r="Q22" s="270">
        <v>1</v>
      </c>
      <c r="R22" s="271">
        <f>(P22/3600)*1000</f>
        <v>31.944444444444443</v>
      </c>
      <c r="S22" s="270"/>
      <c r="T22" s="270" t="s">
        <v>69</v>
      </c>
      <c r="U22" s="357" t="s">
        <v>292</v>
      </c>
      <c r="V22" s="358"/>
      <c r="W22" s="358"/>
      <c r="X22" s="358"/>
      <c r="Y22" s="358"/>
      <c r="Z22" s="358"/>
      <c r="AA22" s="358"/>
      <c r="AB22" s="358"/>
      <c r="AC22" s="358"/>
      <c r="AD22" s="358"/>
    </row>
    <row r="23" spans="1:20" s="8" customFormat="1" ht="15.75">
      <c r="A23" s="447" t="s">
        <v>249</v>
      </c>
      <c r="B23" s="448"/>
      <c r="C23" s="448"/>
      <c r="D23" s="448"/>
      <c r="E23" s="449"/>
      <c r="F23" s="38">
        <f>IF(IF(Planering!E27&gt;1,Planering!E32,0)=0,"",IF(Planering!E27&gt;1,Planering!E32,0))</f>
      </c>
      <c r="G23" s="129" t="s">
        <v>255</v>
      </c>
      <c r="H23" s="187"/>
      <c r="I23" s="187"/>
      <c r="J23" s="239" t="s">
        <v>75</v>
      </c>
      <c r="K23" s="383" t="str">
        <f>IF(F23&gt;1,Planering!E43,"")</f>
        <v>Ej Beräkn</v>
      </c>
      <c r="L23" s="383"/>
      <c r="O23" s="270" t="s">
        <v>59</v>
      </c>
      <c r="P23" s="272">
        <f>'Grunddata flpl'!B26</f>
        <v>1.1</v>
      </c>
      <c r="Q23" s="270">
        <v>2</v>
      </c>
      <c r="R23" s="271">
        <f>P23/R22</f>
        <v>0.034434782608695653</v>
      </c>
      <c r="S23" s="270">
        <v>3</v>
      </c>
      <c r="T23" s="273">
        <f>R23*5000</f>
        <v>172.17391304347828</v>
      </c>
    </row>
    <row r="24" spans="1:20" s="6" customFormat="1" ht="9.75" customHeight="1">
      <c r="A24" s="376"/>
      <c r="B24" s="377"/>
      <c r="C24" s="377"/>
      <c r="D24" s="377"/>
      <c r="E24" s="377"/>
      <c r="F24" s="377"/>
      <c r="G24" s="377"/>
      <c r="H24" s="377"/>
      <c r="I24" s="377"/>
      <c r="J24" s="377"/>
      <c r="K24" s="377"/>
      <c r="L24" s="378"/>
      <c r="O24" s="270"/>
      <c r="P24" s="270"/>
      <c r="Q24" s="270"/>
      <c r="R24" s="271"/>
      <c r="S24" s="270"/>
      <c r="T24" s="270"/>
    </row>
    <row r="25" spans="1:20" ht="15.75">
      <c r="A25" s="436" t="s">
        <v>263</v>
      </c>
      <c r="B25" s="437"/>
      <c r="C25" s="437"/>
      <c r="D25" s="437"/>
      <c r="E25" s="437"/>
      <c r="F25" s="437"/>
      <c r="G25" s="437"/>
      <c r="H25" s="437"/>
      <c r="I25" s="437"/>
      <c r="J25" s="437"/>
      <c r="K25" s="437"/>
      <c r="L25" s="112"/>
      <c r="P25" s="6"/>
      <c r="Q25" s="6"/>
      <c r="R25" s="263"/>
      <c r="S25" s="6"/>
      <c r="T25" s="6"/>
    </row>
    <row r="26" spans="1:20" ht="15.75" customHeight="1">
      <c r="A26" s="422" t="s">
        <v>298</v>
      </c>
      <c r="B26" s="423"/>
      <c r="C26" s="417">
        <v>123.525</v>
      </c>
      <c r="D26" s="417"/>
      <c r="E26" s="130" t="s">
        <v>5</v>
      </c>
      <c r="F26" s="426"/>
      <c r="G26" s="418"/>
      <c r="H26" s="430"/>
      <c r="I26" s="430"/>
      <c r="J26" s="417"/>
      <c r="K26" s="417"/>
      <c r="L26" s="130" t="s">
        <v>5</v>
      </c>
      <c r="P26" s="6"/>
      <c r="Q26" s="6"/>
      <c r="R26" s="263">
        <v>0</v>
      </c>
      <c r="S26" s="6"/>
      <c r="T26" s="6"/>
    </row>
    <row r="27" spans="1:20" ht="15.75">
      <c r="A27" s="424" t="s">
        <v>299</v>
      </c>
      <c r="B27" s="425"/>
      <c r="C27" s="416">
        <v>120.28</v>
      </c>
      <c r="D27" s="416"/>
      <c r="E27" s="131" t="s">
        <v>5</v>
      </c>
      <c r="F27" s="426"/>
      <c r="G27" s="381"/>
      <c r="H27" s="382"/>
      <c r="I27" s="382"/>
      <c r="J27" s="416"/>
      <c r="K27" s="416"/>
      <c r="L27" s="131" t="s">
        <v>5</v>
      </c>
      <c r="P27" s="6"/>
      <c r="Q27" s="6"/>
      <c r="R27" s="263"/>
      <c r="S27" s="6"/>
      <c r="T27" s="6"/>
    </row>
    <row r="28" spans="1:20" ht="15.75">
      <c r="A28" s="422" t="s">
        <v>300</v>
      </c>
      <c r="B28" s="423"/>
      <c r="C28" s="417">
        <v>123.6</v>
      </c>
      <c r="D28" s="417"/>
      <c r="E28" s="130" t="s">
        <v>5</v>
      </c>
      <c r="F28" s="426"/>
      <c r="G28" s="418"/>
      <c r="H28" s="419"/>
      <c r="I28" s="419"/>
      <c r="J28" s="417"/>
      <c r="K28" s="417"/>
      <c r="L28" s="130" t="s">
        <v>5</v>
      </c>
      <c r="P28" s="6"/>
      <c r="Q28" s="6"/>
      <c r="R28" s="263"/>
      <c r="S28" s="6"/>
      <c r="T28" s="6"/>
    </row>
    <row r="29" spans="1:20" ht="15.75">
      <c r="A29" s="424" t="s">
        <v>301</v>
      </c>
      <c r="B29" s="425"/>
      <c r="C29" s="416">
        <v>123.6</v>
      </c>
      <c r="D29" s="416"/>
      <c r="E29" s="131" t="s">
        <v>5</v>
      </c>
      <c r="F29" s="426"/>
      <c r="G29" s="381"/>
      <c r="H29" s="382"/>
      <c r="I29" s="382"/>
      <c r="J29" s="416"/>
      <c r="K29" s="416"/>
      <c r="L29" s="131" t="s">
        <v>5</v>
      </c>
      <c r="P29" s="6"/>
      <c r="Q29" s="6"/>
      <c r="R29" s="263"/>
      <c r="S29" s="6"/>
      <c r="T29" s="6"/>
    </row>
    <row r="30" spans="1:20" ht="15.75">
      <c r="A30" s="422" t="s">
        <v>302</v>
      </c>
      <c r="B30" s="423"/>
      <c r="C30" s="417">
        <v>119.45</v>
      </c>
      <c r="D30" s="417"/>
      <c r="E30" s="130" t="s">
        <v>5</v>
      </c>
      <c r="F30" s="426"/>
      <c r="G30" s="418"/>
      <c r="H30" s="419"/>
      <c r="I30" s="419"/>
      <c r="J30" s="417"/>
      <c r="K30" s="417"/>
      <c r="L30" s="130" t="s">
        <v>5</v>
      </c>
      <c r="P30" s="6"/>
      <c r="Q30" s="6"/>
      <c r="R30" s="263"/>
      <c r="S30" s="6"/>
      <c r="T30" s="6"/>
    </row>
    <row r="31" spans="1:20" ht="15.75">
      <c r="A31" s="424" t="s">
        <v>303</v>
      </c>
      <c r="B31" s="425"/>
      <c r="C31" s="416">
        <v>131.13</v>
      </c>
      <c r="D31" s="416"/>
      <c r="E31" s="131" t="s">
        <v>5</v>
      </c>
      <c r="F31" s="426"/>
      <c r="G31" s="381"/>
      <c r="H31" s="382"/>
      <c r="I31" s="382"/>
      <c r="J31" s="416"/>
      <c r="K31" s="416"/>
      <c r="L31" s="131" t="s">
        <v>5</v>
      </c>
      <c r="P31" s="6"/>
      <c r="Q31" s="6"/>
      <c r="R31" s="263"/>
      <c r="S31" s="6"/>
      <c r="T31" s="6"/>
    </row>
    <row r="32" spans="1:20" ht="9" customHeight="1">
      <c r="A32" s="364"/>
      <c r="B32" s="365"/>
      <c r="C32" s="365"/>
      <c r="D32" s="365"/>
      <c r="E32" s="365"/>
      <c r="F32" s="365"/>
      <c r="G32" s="365"/>
      <c r="H32" s="365"/>
      <c r="I32" s="365"/>
      <c r="J32" s="365"/>
      <c r="K32" s="365"/>
      <c r="L32" s="366"/>
      <c r="P32" s="6"/>
      <c r="Q32" s="6"/>
      <c r="R32" s="263"/>
      <c r="S32" s="6"/>
      <c r="T32" s="6"/>
    </row>
    <row r="33" spans="1:20" ht="15.75">
      <c r="A33" s="310" t="s">
        <v>6</v>
      </c>
      <c r="B33" s="311"/>
      <c r="C33" s="311"/>
      <c r="D33" s="311"/>
      <c r="E33" s="311"/>
      <c r="F33" s="19"/>
      <c r="G33" s="346" t="s">
        <v>2</v>
      </c>
      <c r="H33" s="346"/>
      <c r="I33" s="346"/>
      <c r="J33" s="346"/>
      <c r="K33" s="346"/>
      <c r="L33" s="440"/>
      <c r="P33" s="6"/>
      <c r="Q33" s="6"/>
      <c r="R33" s="263"/>
      <c r="S33" s="6"/>
      <c r="T33" s="6"/>
    </row>
    <row r="34" spans="1:20" ht="15.75">
      <c r="A34" s="108">
        <v>1</v>
      </c>
      <c r="B34" s="427" t="str">
        <f>CONCATENATE("Etablera kontakt vem jag är  ",'Grunddata flpl'!B11)</f>
        <v>Etablera kontakt vem jag är  SE-UAB</v>
      </c>
      <c r="C34" s="427"/>
      <c r="D34" s="427"/>
      <c r="E34" s="427"/>
      <c r="F34" s="428"/>
      <c r="G34" s="370" t="s">
        <v>216</v>
      </c>
      <c r="H34" s="371"/>
      <c r="I34" s="372"/>
      <c r="J34" s="372"/>
      <c r="K34" s="372"/>
      <c r="L34" s="372"/>
      <c r="P34" s="6"/>
      <c r="Q34" s="6"/>
      <c r="R34" s="263"/>
      <c r="S34" s="6"/>
      <c r="T34" s="6"/>
    </row>
    <row r="35" spans="1:62" ht="15.75">
      <c r="A35" s="108">
        <v>2</v>
      </c>
      <c r="B35" s="427" t="s">
        <v>283</v>
      </c>
      <c r="C35" s="427"/>
      <c r="D35" s="427"/>
      <c r="E35" s="427"/>
      <c r="F35" s="428"/>
      <c r="G35" s="420" t="s">
        <v>51</v>
      </c>
      <c r="H35" s="421"/>
      <c r="I35" s="373"/>
      <c r="J35" s="373"/>
      <c r="K35" s="373"/>
      <c r="L35" s="373"/>
      <c r="P35" s="6"/>
      <c r="Q35" s="6"/>
      <c r="R35" s="263"/>
      <c r="S35" s="6"/>
      <c r="T35" s="6"/>
      <c r="BI35" s="228"/>
      <c r="BJ35" s="228"/>
    </row>
    <row r="36" spans="1:63" ht="15.75">
      <c r="A36" s="108"/>
      <c r="B36" s="427" t="s">
        <v>250</v>
      </c>
      <c r="C36" s="427"/>
      <c r="D36" s="427"/>
      <c r="E36" s="427"/>
      <c r="F36" s="428"/>
      <c r="G36" s="368" t="s">
        <v>47</v>
      </c>
      <c r="H36" s="369"/>
      <c r="I36" s="367"/>
      <c r="J36" s="367"/>
      <c r="K36" s="367"/>
      <c r="L36" s="367"/>
      <c r="P36" s="6"/>
      <c r="Q36" s="6"/>
      <c r="R36" s="263"/>
      <c r="S36" s="6"/>
      <c r="T36" s="6"/>
      <c r="BH36" s="228" t="s">
        <v>4</v>
      </c>
      <c r="BI36" s="251" t="s">
        <v>289</v>
      </c>
      <c r="BJ36" s="251" t="s">
        <v>290</v>
      </c>
      <c r="BK36" s="7" t="s">
        <v>291</v>
      </c>
    </row>
    <row r="37" spans="1:63" ht="15.75">
      <c r="A37" s="108">
        <v>3</v>
      </c>
      <c r="B37" s="427" t="s">
        <v>45</v>
      </c>
      <c r="C37" s="427"/>
      <c r="D37" s="427"/>
      <c r="E37" s="427"/>
      <c r="F37" s="428"/>
      <c r="G37" s="420" t="s">
        <v>48</v>
      </c>
      <c r="H37" s="429"/>
      <c r="I37" s="363"/>
      <c r="J37" s="363"/>
      <c r="K37" s="363"/>
      <c r="L37" s="363"/>
      <c r="P37" s="6"/>
      <c r="Q37" s="6"/>
      <c r="R37" s="263"/>
      <c r="S37" s="6"/>
      <c r="T37" s="6"/>
      <c r="BH37" s="228">
        <v>50</v>
      </c>
      <c r="BI37" s="300">
        <f>((('Grunddata flpl'!$B$26/((('Grunddata flpl'!$B$25+$D$43)/3600)*1000))*1000)*BH37)+$C$47</f>
        <v>2021.7391304347827</v>
      </c>
      <c r="BJ37" s="301">
        <f>((('Grunddata flpl'!$B$26/((('Grunddata flpl'!$B$25+$E$43)/3600)*1000))*1000)*BH37)+$C$47</f>
        <v>2384.2105263157896</v>
      </c>
      <c r="BK37" s="228">
        <f>$C$47</f>
        <v>300</v>
      </c>
    </row>
    <row r="38" spans="1:63" ht="15.75">
      <c r="A38" s="108"/>
      <c r="B38" s="427" t="s">
        <v>46</v>
      </c>
      <c r="C38" s="427"/>
      <c r="D38" s="427"/>
      <c r="E38" s="427"/>
      <c r="F38" s="428"/>
      <c r="G38" s="370" t="s">
        <v>262</v>
      </c>
      <c r="H38" s="429"/>
      <c r="I38" s="367"/>
      <c r="J38" s="367"/>
      <c r="K38" s="367"/>
      <c r="L38" s="367"/>
      <c r="P38" s="6"/>
      <c r="Q38" s="6"/>
      <c r="R38" s="263"/>
      <c r="S38" s="6"/>
      <c r="T38" s="6"/>
      <c r="BH38" s="228">
        <v>45</v>
      </c>
      <c r="BI38" s="300">
        <f>((('Grunddata flpl'!$B$26/((('Grunddata flpl'!$B$25+$D$43)/3600)*1000))*1000)*BH38)+$C$47</f>
        <v>1849.5652173913045</v>
      </c>
      <c r="BJ38" s="301">
        <f>((('Grunddata flpl'!$B$26/((('Grunddata flpl'!$B$25+$E$43)/3600)*1000))*1000)*BH38)+$C$47</f>
        <v>2175.7894736842104</v>
      </c>
      <c r="BK38" s="228">
        <f>$C$47</f>
        <v>300</v>
      </c>
    </row>
    <row r="39" spans="1:63" ht="15.75" customHeight="1">
      <c r="A39" s="108">
        <v>4</v>
      </c>
      <c r="B39" s="427" t="str">
        <f>CONCATENATE("Tänk på att avsluta med *",'Grunddata flpl'!B12,"*")</f>
        <v>Tänk på att avsluta med *AB*</v>
      </c>
      <c r="C39" s="427"/>
      <c r="D39" s="427"/>
      <c r="E39" s="427"/>
      <c r="F39" s="428"/>
      <c r="G39" s="420" t="s">
        <v>49</v>
      </c>
      <c r="H39" s="429"/>
      <c r="I39" s="363"/>
      <c r="J39" s="363"/>
      <c r="K39" s="363"/>
      <c r="L39" s="363"/>
      <c r="P39" s="6"/>
      <c r="Q39" s="6"/>
      <c r="R39" s="263"/>
      <c r="S39" s="6"/>
      <c r="T39" s="6"/>
      <c r="BH39" s="228">
        <v>40</v>
      </c>
      <c r="BI39" s="300">
        <f>((('Grunddata flpl'!$B$26/((('Grunddata flpl'!$B$25+$D$43)/3600)*1000))*1000)*BH39)+$C$47</f>
        <v>1677.3913043478262</v>
      </c>
      <c r="BJ39" s="301">
        <f>((('Grunddata flpl'!$B$26/((('Grunddata flpl'!$B$25+$E$43)/3600)*1000))*1000)*BH39)+$C$47</f>
        <v>1967.3684210526314</v>
      </c>
      <c r="BK39" s="228">
        <f aca="true" t="shared" si="0" ref="BK39:BK47">$C$47</f>
        <v>300</v>
      </c>
    </row>
    <row r="40" spans="1:63" ht="15.75" customHeight="1">
      <c r="A40" s="110"/>
      <c r="B40" s="427"/>
      <c r="C40" s="427"/>
      <c r="D40" s="427"/>
      <c r="E40" s="427"/>
      <c r="F40" s="428"/>
      <c r="G40" s="368" t="s">
        <v>52</v>
      </c>
      <c r="H40" s="429"/>
      <c r="I40" s="362"/>
      <c r="J40" s="362"/>
      <c r="K40" s="362"/>
      <c r="L40" s="362"/>
      <c r="P40" s="6"/>
      <c r="Q40" s="6"/>
      <c r="R40" s="263"/>
      <c r="S40" s="6"/>
      <c r="T40" s="6"/>
      <c r="BH40" s="228">
        <v>35</v>
      </c>
      <c r="BI40" s="300">
        <f>((('Grunddata flpl'!$B$26/((('Grunddata flpl'!$B$25+$D$43)/3600)*1000))*1000)*BH40)+$C$47</f>
        <v>1505.217391304348</v>
      </c>
      <c r="BJ40" s="301">
        <f>((('Grunddata flpl'!$B$26/((('Grunddata flpl'!$B$25+$E$43)/3600)*1000))*1000)*BH40)+$C$47</f>
        <v>1758.9473684210525</v>
      </c>
      <c r="BK40" s="228">
        <f t="shared" si="0"/>
        <v>300</v>
      </c>
    </row>
    <row r="41" spans="1:63" ht="15.75" customHeight="1">
      <c r="A41" s="359" t="s">
        <v>282</v>
      </c>
      <c r="B41" s="360"/>
      <c r="C41" s="361"/>
      <c r="D41" s="436" t="s">
        <v>278</v>
      </c>
      <c r="E41" s="437"/>
      <c r="F41" s="487"/>
      <c r="G41" s="481" t="s">
        <v>215</v>
      </c>
      <c r="H41" s="477"/>
      <c r="I41" s="485"/>
      <c r="J41" s="485"/>
      <c r="K41" s="485"/>
      <c r="L41" s="485"/>
      <c r="P41" s="274"/>
      <c r="Q41" s="274"/>
      <c r="R41" s="275"/>
      <c r="S41" s="6"/>
      <c r="T41" s="6"/>
      <c r="BH41" s="228">
        <v>30</v>
      </c>
      <c r="BI41" s="300">
        <f>((('Grunddata flpl'!$B$26/((('Grunddata flpl'!$B$25+$D$43)/3600)*1000))*1000)*BH41)+$C$47</f>
        <v>1333.0434782608697</v>
      </c>
      <c r="BJ41" s="301">
        <f>((('Grunddata flpl'!$B$26/((('Grunddata flpl'!$B$25+$E$43)/3600)*1000))*1000)*BH41)+$C$47</f>
        <v>1550.5263157894735</v>
      </c>
      <c r="BK41" s="228">
        <f t="shared" si="0"/>
        <v>300</v>
      </c>
    </row>
    <row r="42" spans="1:63" ht="15.75">
      <c r="A42" s="234" t="str">
        <f>CONCATENATE("Glidtal: 1:",'Grunddata flpl'!B24)</f>
        <v>Glidtal: 1:28</v>
      </c>
      <c r="B42" s="235"/>
      <c r="C42" s="236"/>
      <c r="D42" s="478" t="s">
        <v>279</v>
      </c>
      <c r="E42" s="479"/>
      <c r="F42" s="480"/>
      <c r="G42" s="482" t="s">
        <v>218</v>
      </c>
      <c r="H42" s="474"/>
      <c r="I42" s="486">
        <f>IF(I40-I35=0,"",I40-I35)</f>
      </c>
      <c r="J42" s="486"/>
      <c r="K42" s="486"/>
      <c r="L42" s="486"/>
      <c r="P42" s="6"/>
      <c r="Q42" s="6"/>
      <c r="R42" s="263"/>
      <c r="S42" s="6"/>
      <c r="T42" s="6"/>
      <c r="BH42" s="228">
        <v>25</v>
      </c>
      <c r="BI42" s="300">
        <f>((('Grunddata flpl'!$B$26/((('Grunddata flpl'!$B$25+$D$43)/3600)*1000))*1000)*BH42)+$C$47</f>
        <v>1160.8695652173915</v>
      </c>
      <c r="BJ42" s="301">
        <f>((('Grunddata flpl'!$B$26/((('Grunddata flpl'!$B$25+$E$43)/3600)*1000))*1000)*BH42)+$C$47</f>
        <v>1342.1052631578948</v>
      </c>
      <c r="BK42" s="228">
        <f t="shared" si="0"/>
        <v>300</v>
      </c>
    </row>
    <row r="43" spans="1:63" ht="15.75">
      <c r="A43" s="234" t="str">
        <f>CONCATENATE("Hastighet: ",'Grunddata flpl'!B25," Km/h")</f>
        <v>Hastighet: 115 Km/h</v>
      </c>
      <c r="B43" s="235"/>
      <c r="C43" s="236"/>
      <c r="D43" s="247">
        <v>0</v>
      </c>
      <c r="E43" s="248">
        <v>-20</v>
      </c>
      <c r="F43" s="59" t="s">
        <v>4</v>
      </c>
      <c r="G43" s="476" t="s">
        <v>217</v>
      </c>
      <c r="H43" s="477"/>
      <c r="I43" s="483">
        <f>IF(I41-I34=0,"",I41-I34)</f>
      </c>
      <c r="J43" s="483"/>
      <c r="K43" s="483"/>
      <c r="L43" s="483"/>
      <c r="P43" s="274" t="str">
        <f>IF(D43&lt;0,"Motvind","Medvind")</f>
        <v>Medvind</v>
      </c>
      <c r="Q43" s="6"/>
      <c r="R43" s="275" t="str">
        <f>IF(D43=0,"Vindstilla",IF(D43&lt;0,"Motvind","Medvind"))</f>
        <v>Vindstilla</v>
      </c>
      <c r="S43" s="275" t="str">
        <f>IF(E43=0,"Vindstilla",IF(E43&lt;0,"Motvind","Medvind"))</f>
        <v>Motvind</v>
      </c>
      <c r="T43" s="6"/>
      <c r="BH43" s="228">
        <v>20</v>
      </c>
      <c r="BI43" s="300">
        <f>((('Grunddata flpl'!$B$26/((('Grunddata flpl'!$B$25+$D$43)/3600)*1000))*1000)*BH43)+$C$47</f>
        <v>988.6956521739131</v>
      </c>
      <c r="BJ43" s="301">
        <f>((('Grunddata flpl'!$B$26/((('Grunddata flpl'!$B$25+$E$43)/3600)*1000))*1000)*BH43)+$C$47</f>
        <v>1133.6842105263158</v>
      </c>
      <c r="BK43" s="228">
        <f t="shared" si="0"/>
        <v>300</v>
      </c>
    </row>
    <row r="44" spans="1:63" ht="15.75">
      <c r="A44" s="234" t="str">
        <f>CONCATENATE("Sjunkhastighet: ",'Grunddata flpl'!B26," m/s")</f>
        <v>Sjunkhastighet: 1,1 m/s</v>
      </c>
      <c r="B44" s="235"/>
      <c r="C44" s="236"/>
      <c r="D44" s="240">
        <f>((('Grunddata flpl'!$B$26/((('Grunddata flpl'!$B$25+$D$43)/3600)*1000))*1000)*F44)+$C$47</f>
        <v>472.17391304347825</v>
      </c>
      <c r="E44" s="240">
        <f>((('Grunddata flpl'!$B$26/((('Grunddata flpl'!$B$25+$E$43)/3600)*1000))*1000)*F44)+$C$47</f>
        <v>508.42105263157896</v>
      </c>
      <c r="F44" s="237">
        <v>5</v>
      </c>
      <c r="G44" s="473"/>
      <c r="H44" s="474"/>
      <c r="I44" s="484"/>
      <c r="J44" s="484"/>
      <c r="K44" s="484"/>
      <c r="L44" s="484"/>
      <c r="P44" s="274" t="str">
        <f>IF(D43=0,"Bästa glid","")</f>
        <v>Bästa glid</v>
      </c>
      <c r="Q44" s="6"/>
      <c r="R44" s="263" t="s">
        <v>280</v>
      </c>
      <c r="S44" s="274"/>
      <c r="T44" s="6"/>
      <c r="BH44" s="228">
        <v>15</v>
      </c>
      <c r="BI44" s="300">
        <f>((('Grunddata flpl'!$B$26/((('Grunddata flpl'!$B$25+$D$43)/3600)*1000))*1000)*BH44)+$C$47</f>
        <v>816.5217391304349</v>
      </c>
      <c r="BJ44" s="301">
        <f>((('Grunddata flpl'!$B$26/((('Grunddata flpl'!$B$25+$E$43)/3600)*1000))*1000)*BH44)+$C$47</f>
        <v>925.2631578947368</v>
      </c>
      <c r="BK44" s="228">
        <f t="shared" si="0"/>
        <v>300</v>
      </c>
    </row>
    <row r="45" spans="1:63" ht="15.75">
      <c r="A45" s="471" t="str">
        <f>CONCATENATE("Sjunk m / 5 km ",R43)</f>
        <v>Sjunk m / 5 km Vindstilla</v>
      </c>
      <c r="B45" s="472"/>
      <c r="C45" s="241">
        <f>('Grunddata flpl'!B26/((('Grunddata flpl'!B25+D43)/3600)*1000))*5000</f>
        <v>172.17391304347828</v>
      </c>
      <c r="D45" s="240">
        <f>((('Grunddata flpl'!$B$26/((('Grunddata flpl'!$B$25+$D$43)/3600)*1000))*1000)*F45)+$C$47</f>
        <v>644.3478260869565</v>
      </c>
      <c r="E45" s="240">
        <f>((('Grunddata flpl'!$B$26/((('Grunddata flpl'!$B$25+$E$43)/3600)*1000))*1000)*F45)+$C$47</f>
        <v>716.8421052631579</v>
      </c>
      <c r="F45" s="237">
        <v>10</v>
      </c>
      <c r="G45" s="476"/>
      <c r="H45" s="477"/>
      <c r="I45" s="363"/>
      <c r="J45" s="363"/>
      <c r="K45" s="363"/>
      <c r="L45" s="363"/>
      <c r="P45" s="6"/>
      <c r="Q45" s="6"/>
      <c r="R45" s="263"/>
      <c r="S45" s="276"/>
      <c r="T45" s="6"/>
      <c r="BH45" s="228">
        <v>10</v>
      </c>
      <c r="BI45" s="300">
        <f>((('Grunddata flpl'!$B$26/((('Grunddata flpl'!$B$25+$D$43)/3600)*1000))*1000)*BH45)+$C$47</f>
        <v>644.3478260869565</v>
      </c>
      <c r="BJ45" s="301">
        <f>((('Grunddata flpl'!$B$26/((('Grunddata flpl'!$B$25+$E$43)/3600)*1000))*1000)*BH45)+$C$47</f>
        <v>716.8421052631579</v>
      </c>
      <c r="BK45" s="228">
        <f t="shared" si="0"/>
        <v>300</v>
      </c>
    </row>
    <row r="46" spans="1:63" ht="15.75" customHeight="1">
      <c r="A46" s="471" t="str">
        <f>CONCATENATE("Sjunk m / 5 km ",S43)</f>
        <v>Sjunk m / 5 km Motvind</v>
      </c>
      <c r="B46" s="472"/>
      <c r="C46" s="242">
        <f>('Grunddata flpl'!B26/((('Grunddata flpl'!B25+E43)/3600)*1000))*5000</f>
        <v>208.42105263157893</v>
      </c>
      <c r="D46" s="240">
        <f>((('Grunddata flpl'!$B$26/((('Grunddata flpl'!$B$25+$D$43)/3600)*1000))*1000)*F46)+$C$47</f>
        <v>816.5217391304349</v>
      </c>
      <c r="E46" s="240">
        <f>((('Grunddata flpl'!$B$26/((('Grunddata flpl'!$B$25+$E$43)/3600)*1000))*1000)*F46)+$C$47</f>
        <v>925.2631578947368</v>
      </c>
      <c r="F46" s="237">
        <v>15</v>
      </c>
      <c r="G46" s="473"/>
      <c r="H46" s="474"/>
      <c r="I46" s="367"/>
      <c r="J46" s="367"/>
      <c r="K46" s="367"/>
      <c r="L46" s="367"/>
      <c r="P46" s="6"/>
      <c r="Q46" s="6"/>
      <c r="R46" s="263"/>
      <c r="S46" s="6"/>
      <c r="T46" s="6"/>
      <c r="BH46" s="228">
        <v>5</v>
      </c>
      <c r="BI46" s="300">
        <f>((('Grunddata flpl'!$B$26/((('Grunddata flpl'!$B$25+$D$43)/3600)*1000))*1000)*BH46)+$C$47</f>
        <v>472.17391304347825</v>
      </c>
      <c r="BJ46" s="301">
        <f>((('Grunddata flpl'!$B$26/((('Grunddata flpl'!$B$25+$E$43)/3600)*1000))*1000)*BH46)+$C$47</f>
        <v>508.42105263157896</v>
      </c>
      <c r="BK46" s="228">
        <f t="shared" si="0"/>
        <v>300</v>
      </c>
    </row>
    <row r="47" spans="1:63" ht="15.75">
      <c r="A47" s="370" t="s">
        <v>242</v>
      </c>
      <c r="B47" s="470"/>
      <c r="C47" s="281">
        <v>300</v>
      </c>
      <c r="D47" s="240">
        <f>((('Grunddata flpl'!$B$26/((('Grunddata flpl'!$B$25+$D$43)/3600)*1000))*1000)*F47)+$C$47</f>
        <v>988.6956521739131</v>
      </c>
      <c r="E47" s="240">
        <f>((('Grunddata flpl'!$B$26/((('Grunddata flpl'!$B$25+$E$43)/3600)*1000))*1000)*F47)+$C$47</f>
        <v>1133.6842105263158</v>
      </c>
      <c r="F47" s="238">
        <v>20</v>
      </c>
      <c r="G47" s="475"/>
      <c r="H47" s="475"/>
      <c r="I47" s="363"/>
      <c r="J47" s="363"/>
      <c r="K47" s="363"/>
      <c r="L47" s="363"/>
      <c r="BH47" s="228">
        <v>0</v>
      </c>
      <c r="BI47" s="300">
        <f>((('Grunddata flpl'!$B$26/((('Grunddata flpl'!$B$25+$D$43)/3600)*1000))*1000)*BH47)+$C$47</f>
        <v>300</v>
      </c>
      <c r="BJ47" s="301">
        <f>((('Grunddata flpl'!$B$26/((('Grunddata flpl'!$B$25+$E$43)/3600)*1000))*1000)*BH47)+$C$47</f>
        <v>300</v>
      </c>
      <c r="BK47" s="228">
        <f t="shared" si="0"/>
        <v>300</v>
      </c>
    </row>
    <row r="48" spans="1:18" s="134" customFormat="1" ht="7.5" customHeight="1">
      <c r="A48" s="453"/>
      <c r="B48" s="454"/>
      <c r="C48" s="454"/>
      <c r="D48" s="454"/>
      <c r="E48" s="454"/>
      <c r="F48" s="117"/>
      <c r="G48" s="118"/>
      <c r="H48" s="455"/>
      <c r="I48" s="455"/>
      <c r="J48" s="455"/>
      <c r="K48" s="455"/>
      <c r="L48" s="456"/>
      <c r="R48" s="277"/>
    </row>
    <row r="49" spans="1:18" s="133" customFormat="1" ht="15.75" customHeight="1">
      <c r="A49" s="457" t="s">
        <v>297</v>
      </c>
      <c r="B49" s="458"/>
      <c r="C49" s="458"/>
      <c r="D49" s="458"/>
      <c r="E49" s="458"/>
      <c r="F49" s="245" t="str">
        <f>Utgåva!A25</f>
        <v>Utgåva</v>
      </c>
      <c r="G49" s="246" t="str">
        <f>Utgåva!A26</f>
        <v>KSFK 4</v>
      </c>
      <c r="H49" s="243"/>
      <c r="I49" s="243"/>
      <c r="J49" s="243"/>
      <c r="K49" s="243"/>
      <c r="L49" s="244"/>
      <c r="R49" s="278"/>
    </row>
    <row r="50" spans="1:15" ht="7.5" customHeight="1">
      <c r="A50" s="450"/>
      <c r="B50" s="451"/>
      <c r="C50" s="451"/>
      <c r="D50" s="451"/>
      <c r="E50" s="451"/>
      <c r="F50" s="451"/>
      <c r="G50" s="451"/>
      <c r="H50" s="451"/>
      <c r="I50" s="451"/>
      <c r="J50" s="451"/>
      <c r="K50" s="451"/>
      <c r="L50" s="452"/>
      <c r="N50" s="228"/>
      <c r="O50" s="251"/>
    </row>
  </sheetData>
  <sheetProtection sheet="1" objects="1" scenarios="1"/>
  <mergeCells count="127">
    <mergeCell ref="I43:L43"/>
    <mergeCell ref="I44:L44"/>
    <mergeCell ref="I41:L41"/>
    <mergeCell ref="I42:L42"/>
    <mergeCell ref="D41:F41"/>
    <mergeCell ref="G44:H44"/>
    <mergeCell ref="G43:H43"/>
    <mergeCell ref="G39:H39"/>
    <mergeCell ref="G40:H40"/>
    <mergeCell ref="D42:F42"/>
    <mergeCell ref="G41:H41"/>
    <mergeCell ref="G42:H42"/>
    <mergeCell ref="B40:F40"/>
    <mergeCell ref="B39:F39"/>
    <mergeCell ref="A47:B47"/>
    <mergeCell ref="I45:L45"/>
    <mergeCell ref="I46:L46"/>
    <mergeCell ref="I47:L47"/>
    <mergeCell ref="A46:B46"/>
    <mergeCell ref="G46:H46"/>
    <mergeCell ref="G47:H47"/>
    <mergeCell ref="A45:B45"/>
    <mergeCell ref="G45:H45"/>
    <mergeCell ref="A50:L50"/>
    <mergeCell ref="A48:E48"/>
    <mergeCell ref="H48:L48"/>
    <mergeCell ref="A49:E49"/>
    <mergeCell ref="I16:J16"/>
    <mergeCell ref="K16:L16"/>
    <mergeCell ref="A17:G17"/>
    <mergeCell ref="I17:J17"/>
    <mergeCell ref="F16:G16"/>
    <mergeCell ref="A16:B16"/>
    <mergeCell ref="C16:D16"/>
    <mergeCell ref="J28:K28"/>
    <mergeCell ref="G33:L33"/>
    <mergeCell ref="I18:J18"/>
    <mergeCell ref="A20:B20"/>
    <mergeCell ref="F20:H20"/>
    <mergeCell ref="A19:L19"/>
    <mergeCell ref="C20:E20"/>
    <mergeCell ref="A22:E22"/>
    <mergeCell ref="A23:E23"/>
    <mergeCell ref="C26:D26"/>
    <mergeCell ref="J26:K26"/>
    <mergeCell ref="G26:I26"/>
    <mergeCell ref="G28:I28"/>
    <mergeCell ref="K18:L18"/>
    <mergeCell ref="A18:H18"/>
    <mergeCell ref="C28:D28"/>
    <mergeCell ref="A27:B27"/>
    <mergeCell ref="A25:K25"/>
    <mergeCell ref="A26:B26"/>
    <mergeCell ref="J27:K27"/>
    <mergeCell ref="I38:L38"/>
    <mergeCell ref="I37:L37"/>
    <mergeCell ref="B34:F34"/>
    <mergeCell ref="B35:F35"/>
    <mergeCell ref="G37:H37"/>
    <mergeCell ref="G38:H38"/>
    <mergeCell ref="B37:F37"/>
    <mergeCell ref="B38:F38"/>
    <mergeCell ref="B36:F36"/>
    <mergeCell ref="G35:H35"/>
    <mergeCell ref="A30:B30"/>
    <mergeCell ref="A28:B28"/>
    <mergeCell ref="A29:B29"/>
    <mergeCell ref="F26:F31"/>
    <mergeCell ref="C29:D29"/>
    <mergeCell ref="C30:D30"/>
    <mergeCell ref="C31:D31"/>
    <mergeCell ref="A31:B31"/>
    <mergeCell ref="C27:D27"/>
    <mergeCell ref="G31:I31"/>
    <mergeCell ref="J29:K29"/>
    <mergeCell ref="J30:K30"/>
    <mergeCell ref="J31:K31"/>
    <mergeCell ref="G29:I29"/>
    <mergeCell ref="G30:I30"/>
    <mergeCell ref="H14:L14"/>
    <mergeCell ref="C13:D13"/>
    <mergeCell ref="H11:L11"/>
    <mergeCell ref="C15:D15"/>
    <mergeCell ref="C11:D11"/>
    <mergeCell ref="C12:D12"/>
    <mergeCell ref="H15:L15"/>
    <mergeCell ref="H12:L12"/>
    <mergeCell ref="H13:L13"/>
    <mergeCell ref="K4:L4"/>
    <mergeCell ref="H9:L9"/>
    <mergeCell ref="H10:L10"/>
    <mergeCell ref="A5:A7"/>
    <mergeCell ref="C5:D7"/>
    <mergeCell ref="C8:D8"/>
    <mergeCell ref="C9:D9"/>
    <mergeCell ref="C10:D10"/>
    <mergeCell ref="B5:B7"/>
    <mergeCell ref="A1:L1"/>
    <mergeCell ref="A2:L2"/>
    <mergeCell ref="H7:L7"/>
    <mergeCell ref="H8:L8"/>
    <mergeCell ref="F5:F7"/>
    <mergeCell ref="G5:G7"/>
    <mergeCell ref="H6:L6"/>
    <mergeCell ref="E5:E7"/>
    <mergeCell ref="H5:L5"/>
    <mergeCell ref="A4:D4"/>
    <mergeCell ref="G34:H34"/>
    <mergeCell ref="I34:L34"/>
    <mergeCell ref="I35:L35"/>
    <mergeCell ref="C14:D14"/>
    <mergeCell ref="A24:L24"/>
    <mergeCell ref="I20:L20"/>
    <mergeCell ref="G27:I27"/>
    <mergeCell ref="K22:L22"/>
    <mergeCell ref="K23:L23"/>
    <mergeCell ref="A21:L21"/>
    <mergeCell ref="U22:AD22"/>
    <mergeCell ref="U20:AD20"/>
    <mergeCell ref="U18:AD18"/>
    <mergeCell ref="A41:C41"/>
    <mergeCell ref="I40:L40"/>
    <mergeCell ref="I39:L39"/>
    <mergeCell ref="A32:L32"/>
    <mergeCell ref="I36:L36"/>
    <mergeCell ref="A33:E33"/>
    <mergeCell ref="G36:H36"/>
  </mergeCells>
  <conditionalFormatting sqref="BI37:BI47 D44:D47">
    <cfRule type="expression" priority="1" dxfId="3" stopIfTrue="1">
      <formula>$D$43&lt;0</formula>
    </cfRule>
    <cfRule type="expression" priority="2" dxfId="4" stopIfTrue="1">
      <formula>$D$43&gt;0</formula>
    </cfRule>
  </conditionalFormatting>
  <conditionalFormatting sqref="BJ37:BJ47 E44:E47">
    <cfRule type="expression" priority="3" dxfId="3" stopIfTrue="1">
      <formula>$E$43&lt;0</formula>
    </cfRule>
    <cfRule type="expression" priority="4" dxfId="4" stopIfTrue="1">
      <formula>$E$43&gt;0</formula>
    </cfRule>
  </conditionalFormatting>
  <conditionalFormatting sqref="M30">
    <cfRule type="cellIs" priority="5" dxfId="1" operator="greaterThan" stopIfTrue="1">
      <formula>"&gt;78"</formula>
    </cfRule>
  </conditionalFormatting>
  <conditionalFormatting sqref="E43">
    <cfRule type="cellIs" priority="6" dxfId="3" operator="lessThan" stopIfTrue="1">
      <formula>0</formula>
    </cfRule>
    <cfRule type="cellIs" priority="7" dxfId="4" operator="greaterThan" stopIfTrue="1">
      <formula>0</formula>
    </cfRule>
  </conditionalFormatting>
  <conditionalFormatting sqref="D43">
    <cfRule type="cellIs" priority="8" dxfId="4" operator="greaterThan" stopIfTrue="1">
      <formula>0</formula>
    </cfRule>
    <cfRule type="cellIs" priority="9" dxfId="3" operator="lessThan" stopIfTrue="1">
      <formula>0</formula>
    </cfRule>
  </conditionalFormatting>
  <conditionalFormatting sqref="A45:C45">
    <cfRule type="expression" priority="10" dxfId="4" stopIfTrue="1">
      <formula>$D$43&gt;0</formula>
    </cfRule>
    <cfRule type="expression" priority="11" dxfId="3" stopIfTrue="1">
      <formula>$D$43&lt;0</formula>
    </cfRule>
  </conditionalFormatting>
  <conditionalFormatting sqref="A46:C46">
    <cfRule type="expression" priority="12" dxfId="4" stopIfTrue="1">
      <formula>$E$43&gt;0</formula>
    </cfRule>
    <cfRule type="expression" priority="13" dxfId="3" stopIfTrue="1">
      <formula>$E$43&lt;0</formula>
    </cfRule>
  </conditionalFormatting>
  <conditionalFormatting sqref="K22:L23">
    <cfRule type="cellIs" priority="14" dxfId="2" operator="equal" stopIfTrue="1">
      <formula>"OK"</formula>
    </cfRule>
    <cfRule type="cellIs" priority="15" dxfId="1" operator="equal" stopIfTrue="1">
      <formula>"EJ OK"</formula>
    </cfRule>
    <cfRule type="cellIs" priority="16" dxfId="0" operator="equal" stopIfTrue="1">
      <formula>"Ej beräkn"</formula>
    </cfRule>
  </conditionalFormatting>
  <dataValidations count="23">
    <dataValidation allowBlank="1" showErrorMessage="1" prompt="Skrivskyddat&#10;&#10;Beräknas automatiskt efter&#10;antalet km samt sjunkhastighet och säkerhetshöjd " sqref="BI37:BJ47"/>
    <dataValidation allowBlank="1" showInputMessage="1" showErrorMessage="1" prompt="Skrivskyddat&#10;Automatisk beräknad" sqref="I16 C16 F16"/>
    <dataValidation allowBlank="1" showInputMessage="1" showErrorMessage="1" prompt="Skrivskyddat fält&#10;Automatisk beräkning" sqref="I18 G8:G15 C9:F14 B8:B15"/>
    <dataValidation allowBlank="1" showInputMessage="1" showErrorMessage="1" prompt="Egna anteckningar" sqref="H8:L15 G44:K47"/>
    <dataValidation allowBlank="1" showInputMessage="1" showErrorMessage="1" prompt="Skriv&#10;Flygplats&#10;eller&#10;Torn" sqref="A26:B31 G26:I31"/>
    <dataValidation allowBlank="1" showInputMessage="1" showErrorMessage="1" prompt="Skriv Kanal (Fekvens)&#10;ex.&#10;123,350&#10;" sqref="C26:D31 J26:J31"/>
    <dataValidation allowBlank="1" showInputMessage="1" showErrorMessage="1" prompt="Beräknas automatiskt&#10;om&#10;start o landningstid fylls i" sqref="I42:K42"/>
    <dataValidation allowBlank="1" showInputMessage="1" showErrorMessage="1" prompt="Beräknas automatiskt&#10;om&#10;Tachotid start o Tachotid stopp fylls i" sqref="I43:K43"/>
    <dataValidation allowBlank="1" showInputMessage="1" showErrorMessage="1" prompt="Tachotid i flygplanet&#10;före start av motor&#10;Ex 125,12" sqref="I34"/>
    <dataValidation allowBlank="1" showInputMessage="1" showErrorMessage="1" prompt="Start (flygtid)&#10;Skriv ex&#10;12:15" sqref="I35:K35"/>
    <dataValidation allowBlank="1" showInputMessage="1" showErrorMessage="1" prompt="Landningstid&#10;Skriv ex&#10;14:15" sqref="I40:K40"/>
    <dataValidation allowBlank="1" showInputMessage="1" showErrorMessage="1" prompt="Antecknas i flpl&#10;vid behov" sqref="I36:K39"/>
    <dataValidation allowBlank="1" showInputMessage="1" showErrorMessage="1" prompt="Skrivskyddat fält" sqref="C8:F8 C15:F15 K18"/>
    <dataValidation allowBlank="1" showInputMessage="1" showErrorMessage="1" prompt="Tachotid i flygplanet&#10;vid stopp av motor&#10;Ex 128,05" sqref="I41:K41"/>
    <dataValidation allowBlank="1" showInputMessage="1" showErrorMessage="1" prompt="Skrivskyddat&#10;Automatiskt &#10;beräknat" sqref="H22 F22:F23"/>
    <dataValidation allowBlank="1" showInputMessage="1" showErrorMessage="1" prompt="Automatiskt Befälhavarnamn om du skrivit detta under planering&#10;Annars valfritt skriva över" sqref="H6:L6"/>
    <dataValidation allowBlank="1" showInputMessage="1" showErrorMessage="1" prompt="Skrivskyddat" sqref="B43:B44 J22:J23 A22:E23 A20:L20 E26:E31 A33:F40 C43:C45 L26:L31 A41:A47"/>
    <dataValidation allowBlank="1" showInputMessage="1" showErrorMessage="1" prompt="Skriv den höjd du vill ha som säkerhetshöjd i meter&#10;Höjdbehovet räknas automatiskt om" sqref="C47"/>
    <dataValidation allowBlank="1" showInputMessage="1" showErrorMessage="1" prompt="Skrivskyddat fält&#10;Automatisk beräkning&#10;OK =&gt; Rätt&#10;EJ OK =&gt; Räkna om" sqref="K22:L23"/>
    <dataValidation allowBlank="1" showInputMessage="1" showErrorMessage="1" prompt="Skriv medvind eller motvind i km/h&#10;ex. &#10;0 vid vindstilla&#10;eller&#10;10 vid 10km/h medvind &#10;eller &#10;-10 vid 10km/h motvind&#10;&#10;Sjunk samt höjdbehovet räknas automatiskt om" sqref="D43:E43"/>
    <dataValidation allowBlank="1" showInputMessage="1" showErrorMessage="1" prompt="Skriv in valbart &#10;&#10;Antal hela km&#10;Avrundas automatiskt men räknar även med decimaler&#10;" sqref="F44:F47"/>
    <dataValidation allowBlank="1" showInputMessage="1" showErrorMessage="1" prompt="Skrivskyddat&#10;&#10;Beräknas automatiskt efter&#10;antalet km samt sjunkhastighet och säkerhetshöjd " sqref="D44:E47"/>
    <dataValidation allowBlank="1" showInputMessage="1" showErrorMessage="1" prompt="skrivskyddat" sqref="C46"/>
  </dataValidations>
  <printOptions/>
  <pageMargins left="0.74" right="0.2755905511811024" top="0.82" bottom="0.47" header="0.46" footer="0"/>
  <pageSetup fitToHeight="1" fitToWidth="1" horizontalDpi="400" verticalDpi="400" orientation="portrait" paperSize="9" scale="95" r:id="rId2"/>
  <headerFooter alignWithMargins="0">
    <oddHeader>&amp;L&amp;"Arial,Fet"Segelflyget&amp;R&amp;D</oddHeader>
    <oddFooter>&amp;L&amp;8&amp;A&amp;C&amp;8&amp;P  ( &amp;N )&amp;R&amp;8&amp;F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L58"/>
  <sheetViews>
    <sheetView showZeros="0" zoomScale="82" zoomScaleNormal="82" zoomScalePageLayoutView="0" workbookViewId="0" topLeftCell="A1">
      <selection activeCell="C4" sqref="C4"/>
    </sheetView>
  </sheetViews>
  <sheetFormatPr defaultColWidth="10.421875" defaultRowHeight="12.75"/>
  <cols>
    <col min="1" max="1" width="9.28125" style="8" customWidth="1"/>
    <col min="2" max="2" width="0.85546875" style="8" customWidth="1"/>
    <col min="3" max="3" width="24.7109375" style="8" customWidth="1"/>
    <col min="4" max="4" width="12.7109375" style="8" customWidth="1"/>
    <col min="5" max="5" width="0.85546875" style="8" customWidth="1"/>
    <col min="6" max="6" width="1.7109375" style="8" customWidth="1"/>
    <col min="7" max="7" width="0.85546875" style="8" customWidth="1"/>
    <col min="8" max="8" width="24.7109375" style="8" customWidth="1"/>
    <col min="9" max="9" width="12.7109375" style="8" customWidth="1"/>
    <col min="10" max="10" width="0.85546875" style="8" customWidth="1"/>
    <col min="11" max="11" width="15.8515625" style="8" bestFit="1" customWidth="1"/>
    <col min="12" max="12" width="9.28125" style="8" customWidth="1"/>
    <col min="13" max="16384" width="10.421875" style="8" customWidth="1"/>
  </cols>
  <sheetData>
    <row r="1" spans="1:12" ht="15.75">
      <c r="A1" s="358" t="str">
        <f>Readme!B1</f>
        <v>Driftfärdplan Grob G 109B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</row>
    <row r="2" spans="1:12" ht="15.75">
      <c r="A2" s="358" t="str">
        <f>Readme!B2</f>
        <v>SE-UAB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</row>
    <row r="5" spans="1:10" ht="15">
      <c r="A5" s="67"/>
      <c r="B5" s="67"/>
      <c r="C5" s="68" t="s">
        <v>0</v>
      </c>
      <c r="D5" s="7"/>
      <c r="E5" s="7"/>
      <c r="F5" s="7"/>
      <c r="G5" s="7"/>
      <c r="H5" s="7"/>
      <c r="I5" s="7"/>
      <c r="J5" s="7"/>
    </row>
    <row r="6" spans="1:10" ht="15">
      <c r="A6" s="69"/>
      <c r="B6" s="69"/>
      <c r="C6" s="70" t="s">
        <v>145</v>
      </c>
      <c r="D6" s="7"/>
      <c r="E6" s="7"/>
      <c r="F6" s="7"/>
      <c r="G6" s="7"/>
      <c r="H6" s="7"/>
      <c r="I6" s="7"/>
      <c r="J6" s="7"/>
    </row>
    <row r="7" spans="1:10" ht="15.75">
      <c r="A7" s="71"/>
      <c r="B7" s="71"/>
      <c r="C7" s="72" t="s">
        <v>146</v>
      </c>
      <c r="D7" s="7"/>
      <c r="E7" s="7"/>
      <c r="F7" s="7"/>
      <c r="G7" s="7"/>
      <c r="H7" s="7"/>
      <c r="I7" s="7"/>
      <c r="J7" s="7"/>
    </row>
    <row r="8" spans="1:10" ht="15">
      <c r="A8" s="69"/>
      <c r="B8" s="69"/>
      <c r="C8" s="70"/>
      <c r="D8" s="7"/>
      <c r="E8" s="7"/>
      <c r="F8" s="7"/>
      <c r="G8" s="7"/>
      <c r="H8" s="7"/>
      <c r="I8" s="7"/>
      <c r="J8" s="7"/>
    </row>
    <row r="9" spans="1:10" ht="15.75">
      <c r="A9" s="71"/>
      <c r="B9" s="71"/>
      <c r="C9" s="72" t="s">
        <v>147</v>
      </c>
      <c r="D9" s="7"/>
      <c r="E9" s="7"/>
      <c r="F9" s="7"/>
      <c r="G9" s="7"/>
      <c r="H9" s="7"/>
      <c r="I9" s="7"/>
      <c r="J9" s="7"/>
    </row>
    <row r="10" spans="1:10" ht="15.75">
      <c r="A10" s="73"/>
      <c r="B10" s="73"/>
      <c r="C10" s="7"/>
      <c r="D10" s="7"/>
      <c r="E10" s="7"/>
      <c r="F10" s="7"/>
      <c r="G10" s="7"/>
      <c r="H10" s="7"/>
      <c r="I10" s="7"/>
      <c r="J10" s="7"/>
    </row>
    <row r="11" spans="1:10" ht="18" customHeight="1">
      <c r="A11" s="74"/>
      <c r="B11" s="75"/>
      <c r="C11" s="182" t="s">
        <v>148</v>
      </c>
      <c r="D11" s="183">
        <v>123.15</v>
      </c>
      <c r="E11" s="76"/>
      <c r="F11" s="77"/>
      <c r="G11" s="78"/>
      <c r="H11" s="182" t="s">
        <v>149</v>
      </c>
      <c r="I11" s="183">
        <v>123.525</v>
      </c>
      <c r="J11" s="79">
        <v>1</v>
      </c>
    </row>
    <row r="12" spans="1:10" ht="18" customHeight="1">
      <c r="A12" s="74"/>
      <c r="B12" s="75"/>
      <c r="C12" s="182" t="s">
        <v>150</v>
      </c>
      <c r="D12" s="184">
        <v>123.2</v>
      </c>
      <c r="E12" s="76"/>
      <c r="F12" s="80"/>
      <c r="G12" s="78"/>
      <c r="H12" s="182" t="s">
        <v>151</v>
      </c>
      <c r="I12" s="183">
        <v>123.45</v>
      </c>
      <c r="J12" s="79">
        <v>1</v>
      </c>
    </row>
    <row r="13" spans="1:10" ht="18" customHeight="1">
      <c r="A13" s="74"/>
      <c r="B13" s="75"/>
      <c r="C13" s="182" t="s">
        <v>213</v>
      </c>
      <c r="D13" s="183">
        <v>122.35</v>
      </c>
      <c r="E13" s="76"/>
      <c r="F13" s="80"/>
      <c r="G13" s="78"/>
      <c r="H13" s="182" t="s">
        <v>153</v>
      </c>
      <c r="I13" s="183">
        <v>123.6</v>
      </c>
      <c r="J13" s="79">
        <v>1</v>
      </c>
    </row>
    <row r="14" spans="1:10" ht="18" customHeight="1">
      <c r="A14" s="74"/>
      <c r="B14" s="75"/>
      <c r="C14" s="182" t="s">
        <v>152</v>
      </c>
      <c r="D14" s="183">
        <v>123.55</v>
      </c>
      <c r="E14" s="76"/>
      <c r="F14" s="80"/>
      <c r="G14" s="78"/>
      <c r="H14" s="182" t="s">
        <v>155</v>
      </c>
      <c r="I14" s="183">
        <v>123.45</v>
      </c>
      <c r="J14" s="79">
        <v>1</v>
      </c>
    </row>
    <row r="15" spans="1:10" ht="18" customHeight="1">
      <c r="A15" s="74"/>
      <c r="B15" s="75"/>
      <c r="C15" s="182" t="s">
        <v>154</v>
      </c>
      <c r="D15" s="183">
        <v>123.2</v>
      </c>
      <c r="E15" s="76"/>
      <c r="F15" s="80"/>
      <c r="G15" s="78"/>
      <c r="H15" s="182" t="s">
        <v>157</v>
      </c>
      <c r="I15" s="183">
        <v>129.85</v>
      </c>
      <c r="J15" s="79">
        <v>1</v>
      </c>
    </row>
    <row r="16" spans="1:10" ht="18" customHeight="1">
      <c r="A16" s="74"/>
      <c r="B16" s="75"/>
      <c r="C16" s="182" t="s">
        <v>156</v>
      </c>
      <c r="D16" s="183">
        <v>127.3</v>
      </c>
      <c r="E16" s="76"/>
      <c r="F16" s="80"/>
      <c r="G16" s="78"/>
      <c r="H16" s="182" t="s">
        <v>159</v>
      </c>
      <c r="I16" s="183">
        <v>123.6</v>
      </c>
      <c r="J16" s="79">
        <v>1</v>
      </c>
    </row>
    <row r="17" spans="1:10" ht="18" customHeight="1">
      <c r="A17" s="74"/>
      <c r="B17" s="75"/>
      <c r="C17" s="182" t="s">
        <v>158</v>
      </c>
      <c r="D17" s="183">
        <v>123.5</v>
      </c>
      <c r="E17" s="76"/>
      <c r="F17" s="80"/>
      <c r="G17" s="78"/>
      <c r="H17" s="182" t="s">
        <v>161</v>
      </c>
      <c r="I17" s="183">
        <v>123.15</v>
      </c>
      <c r="J17" s="79">
        <v>1</v>
      </c>
    </row>
    <row r="18" spans="1:10" ht="18" customHeight="1">
      <c r="A18" s="74"/>
      <c r="B18" s="75"/>
      <c r="C18" s="182" t="s">
        <v>160</v>
      </c>
      <c r="D18" s="183">
        <v>123.35</v>
      </c>
      <c r="E18" s="76"/>
      <c r="F18" s="80"/>
      <c r="G18" s="78"/>
      <c r="H18" s="182" t="s">
        <v>163</v>
      </c>
      <c r="I18" s="183">
        <v>123.4</v>
      </c>
      <c r="J18" s="79">
        <v>1</v>
      </c>
    </row>
    <row r="19" spans="1:10" ht="18" customHeight="1">
      <c r="A19" s="74"/>
      <c r="B19" s="75"/>
      <c r="C19" s="182" t="s">
        <v>162</v>
      </c>
      <c r="D19" s="183">
        <v>123.6</v>
      </c>
      <c r="E19" s="76"/>
      <c r="F19" s="80"/>
      <c r="G19" s="78"/>
      <c r="H19" s="182" t="s">
        <v>165</v>
      </c>
      <c r="I19" s="183">
        <v>123.35</v>
      </c>
      <c r="J19" s="79">
        <v>1</v>
      </c>
    </row>
    <row r="20" spans="1:10" ht="18" customHeight="1">
      <c r="A20" s="74"/>
      <c r="B20" s="75"/>
      <c r="C20" s="182" t="s">
        <v>164</v>
      </c>
      <c r="D20" s="183">
        <v>123.55</v>
      </c>
      <c r="E20" s="76"/>
      <c r="F20" s="80"/>
      <c r="G20" s="78"/>
      <c r="H20" s="182" t="s">
        <v>167</v>
      </c>
      <c r="I20" s="183">
        <v>123.55</v>
      </c>
      <c r="J20" s="79">
        <v>1</v>
      </c>
    </row>
    <row r="21" spans="1:10" ht="18" customHeight="1">
      <c r="A21" s="74"/>
      <c r="B21" s="75"/>
      <c r="C21" s="182" t="s">
        <v>166</v>
      </c>
      <c r="D21" s="183">
        <v>123.45</v>
      </c>
      <c r="E21" s="76"/>
      <c r="F21" s="80"/>
      <c r="G21" s="78"/>
      <c r="H21" s="182" t="s">
        <v>169</v>
      </c>
      <c r="I21" s="183">
        <v>123.55</v>
      </c>
      <c r="J21" s="79">
        <v>1</v>
      </c>
    </row>
    <row r="22" spans="1:10" ht="18" customHeight="1">
      <c r="A22" s="74"/>
      <c r="B22" s="75"/>
      <c r="C22" s="182" t="s">
        <v>168</v>
      </c>
      <c r="D22" s="183">
        <v>123.2</v>
      </c>
      <c r="E22" s="76"/>
      <c r="F22" s="80"/>
      <c r="G22" s="78"/>
      <c r="H22" s="182" t="s">
        <v>171</v>
      </c>
      <c r="I22" s="183">
        <v>123.55</v>
      </c>
      <c r="J22" s="79">
        <v>1</v>
      </c>
    </row>
    <row r="23" spans="1:10" ht="18" customHeight="1">
      <c r="A23" s="74"/>
      <c r="B23" s="75"/>
      <c r="C23" s="182" t="s">
        <v>170</v>
      </c>
      <c r="D23" s="183">
        <v>126.85</v>
      </c>
      <c r="E23" s="76"/>
      <c r="F23" s="80"/>
      <c r="G23" s="78"/>
      <c r="H23" s="185" t="s">
        <v>173</v>
      </c>
      <c r="I23" s="186">
        <v>123.35</v>
      </c>
      <c r="J23" s="79">
        <v>1</v>
      </c>
    </row>
    <row r="24" spans="1:10" ht="18" customHeight="1">
      <c r="A24" s="74"/>
      <c r="B24" s="75"/>
      <c r="C24" s="182" t="s">
        <v>172</v>
      </c>
      <c r="D24" s="183">
        <v>135.65</v>
      </c>
      <c r="E24" s="76"/>
      <c r="F24" s="80"/>
      <c r="G24" s="78"/>
      <c r="H24" s="182" t="s">
        <v>175</v>
      </c>
      <c r="I24" s="183">
        <v>123.2</v>
      </c>
      <c r="J24" s="79">
        <v>1</v>
      </c>
    </row>
    <row r="25" spans="1:10" ht="18" customHeight="1">
      <c r="A25" s="74"/>
      <c r="B25" s="75"/>
      <c r="C25" s="182" t="s">
        <v>174</v>
      </c>
      <c r="D25" s="183">
        <v>130.9</v>
      </c>
      <c r="E25" s="76"/>
      <c r="F25" s="80"/>
      <c r="G25" s="78"/>
      <c r="H25" s="182" t="s">
        <v>177</v>
      </c>
      <c r="I25" s="183">
        <v>122.2</v>
      </c>
      <c r="J25" s="79">
        <v>1</v>
      </c>
    </row>
    <row r="26" spans="1:10" ht="18" customHeight="1">
      <c r="A26" s="74"/>
      <c r="B26" s="75"/>
      <c r="C26" s="182" t="s">
        <v>176</v>
      </c>
      <c r="D26" s="183">
        <v>123.55</v>
      </c>
      <c r="E26" s="76"/>
      <c r="F26" s="80"/>
      <c r="G26" s="78"/>
      <c r="H26" s="182" t="s">
        <v>178</v>
      </c>
      <c r="I26" s="183">
        <v>123.15</v>
      </c>
      <c r="J26" s="79">
        <v>1</v>
      </c>
    </row>
    <row r="27" spans="1:10" ht="18" customHeight="1">
      <c r="A27" s="74"/>
      <c r="B27" s="75"/>
      <c r="C27" s="182" t="s">
        <v>179</v>
      </c>
      <c r="D27" s="183">
        <v>122.35</v>
      </c>
      <c r="E27" s="76"/>
      <c r="F27" s="80"/>
      <c r="G27" s="78"/>
      <c r="H27" s="182" t="s">
        <v>180</v>
      </c>
      <c r="I27" s="183">
        <v>123.45</v>
      </c>
      <c r="J27" s="79">
        <v>1</v>
      </c>
    </row>
    <row r="28" spans="1:10" ht="18" customHeight="1">
      <c r="A28" s="74"/>
      <c r="B28" s="75"/>
      <c r="C28" s="182" t="s">
        <v>181</v>
      </c>
      <c r="D28" s="183">
        <v>122.225</v>
      </c>
      <c r="E28" s="76"/>
      <c r="F28" s="80"/>
      <c r="G28" s="78"/>
      <c r="H28" s="182" t="s">
        <v>182</v>
      </c>
      <c r="I28" s="183">
        <v>135.35</v>
      </c>
      <c r="J28" s="79">
        <v>1</v>
      </c>
    </row>
    <row r="29" spans="1:10" ht="18" customHeight="1">
      <c r="A29" s="74"/>
      <c r="B29" s="75"/>
      <c r="C29" s="182" t="s">
        <v>183</v>
      </c>
      <c r="D29" s="183">
        <v>123.2</v>
      </c>
      <c r="E29" s="76"/>
      <c r="F29" s="80"/>
      <c r="G29" s="78"/>
      <c r="H29" s="182" t="s">
        <v>184</v>
      </c>
      <c r="I29" s="183">
        <v>122.05</v>
      </c>
      <c r="J29" s="79">
        <v>1</v>
      </c>
    </row>
    <row r="30" spans="1:10" ht="18" customHeight="1">
      <c r="A30" s="74"/>
      <c r="B30" s="75"/>
      <c r="C30" s="182" t="s">
        <v>185</v>
      </c>
      <c r="D30" s="183">
        <v>123.15</v>
      </c>
      <c r="E30" s="76"/>
      <c r="F30" s="80"/>
      <c r="G30" s="78"/>
      <c r="H30" s="182" t="s">
        <v>186</v>
      </c>
      <c r="I30" s="183">
        <v>130.4</v>
      </c>
      <c r="J30" s="79">
        <v>1</v>
      </c>
    </row>
    <row r="31" spans="1:10" ht="18" customHeight="1">
      <c r="A31" s="74"/>
      <c r="B31" s="75"/>
      <c r="C31" s="182" t="s">
        <v>187</v>
      </c>
      <c r="D31" s="183">
        <v>123.65</v>
      </c>
      <c r="E31" s="76"/>
      <c r="F31" s="80"/>
      <c r="G31" s="78"/>
      <c r="H31" s="182" t="s">
        <v>188</v>
      </c>
      <c r="I31" s="183">
        <v>119.2</v>
      </c>
      <c r="J31" s="79">
        <v>1</v>
      </c>
    </row>
    <row r="32" spans="1:10" ht="18" customHeight="1">
      <c r="A32" s="74"/>
      <c r="B32" s="75"/>
      <c r="C32" s="182" t="s">
        <v>189</v>
      </c>
      <c r="D32" s="183">
        <v>122.55</v>
      </c>
      <c r="E32" s="76"/>
      <c r="F32" s="80"/>
      <c r="G32" s="78"/>
      <c r="H32" s="182" t="s">
        <v>190</v>
      </c>
      <c r="I32" s="183">
        <v>130.6</v>
      </c>
      <c r="J32" s="79">
        <v>1</v>
      </c>
    </row>
    <row r="33" spans="1:10" ht="18" customHeight="1">
      <c r="A33" s="74"/>
      <c r="B33" s="75"/>
      <c r="C33" s="182" t="s">
        <v>191</v>
      </c>
      <c r="D33" s="183">
        <v>119.45</v>
      </c>
      <c r="E33" s="76"/>
      <c r="F33" s="80"/>
      <c r="G33" s="78"/>
      <c r="H33" s="182" t="s">
        <v>192</v>
      </c>
      <c r="I33" s="183">
        <v>123.15</v>
      </c>
      <c r="J33" s="79">
        <v>1</v>
      </c>
    </row>
    <row r="34" spans="1:10" ht="18" customHeight="1">
      <c r="A34" s="74"/>
      <c r="B34" s="75"/>
      <c r="C34" s="182" t="s">
        <v>193</v>
      </c>
      <c r="D34" s="183">
        <v>122.15</v>
      </c>
      <c r="E34" s="76"/>
      <c r="F34" s="80"/>
      <c r="G34" s="78"/>
      <c r="H34" s="182" t="s">
        <v>194</v>
      </c>
      <c r="I34" s="183">
        <v>123.4</v>
      </c>
      <c r="J34" s="79">
        <v>1</v>
      </c>
    </row>
    <row r="35" spans="1:10" ht="18" customHeight="1">
      <c r="A35" s="74"/>
      <c r="B35" s="75"/>
      <c r="C35" s="182" t="s">
        <v>195</v>
      </c>
      <c r="D35" s="183">
        <v>123.15</v>
      </c>
      <c r="E35" s="76"/>
      <c r="F35" s="80"/>
      <c r="G35" s="78"/>
      <c r="H35" s="182" t="s">
        <v>214</v>
      </c>
      <c r="I35" s="183">
        <v>123.15</v>
      </c>
      <c r="J35" s="79">
        <v>1</v>
      </c>
    </row>
    <row r="36" spans="1:10" ht="18" customHeight="1">
      <c r="A36" s="74"/>
      <c r="B36" s="75"/>
      <c r="C36" s="182" t="s">
        <v>197</v>
      </c>
      <c r="D36" s="183">
        <v>123.2</v>
      </c>
      <c r="E36" s="76"/>
      <c r="F36" s="80"/>
      <c r="G36" s="78"/>
      <c r="H36" s="182" t="s">
        <v>196</v>
      </c>
      <c r="I36" s="183">
        <v>120.275</v>
      </c>
      <c r="J36" s="79"/>
    </row>
    <row r="37" spans="1:10" ht="18" customHeight="1">
      <c r="A37" s="74"/>
      <c r="B37" s="75"/>
      <c r="C37" s="182" t="s">
        <v>199</v>
      </c>
      <c r="D37" s="183">
        <v>122.1</v>
      </c>
      <c r="E37" s="76"/>
      <c r="F37" s="80"/>
      <c r="G37" s="78"/>
      <c r="H37" s="182" t="s">
        <v>198</v>
      </c>
      <c r="I37" s="183">
        <v>122.25</v>
      </c>
      <c r="J37" s="79">
        <v>1</v>
      </c>
    </row>
    <row r="38" spans="1:10" ht="18" customHeight="1">
      <c r="A38" s="74"/>
      <c r="B38" s="75"/>
      <c r="C38" s="182" t="s">
        <v>212</v>
      </c>
      <c r="D38" s="183">
        <v>123.4</v>
      </c>
      <c r="E38" s="76"/>
      <c r="F38" s="81"/>
      <c r="G38" s="78"/>
      <c r="H38" s="182" t="s">
        <v>200</v>
      </c>
      <c r="I38" s="183">
        <v>123.55</v>
      </c>
      <c r="J38" s="79">
        <v>1</v>
      </c>
    </row>
    <row r="40" spans="3:9" ht="15">
      <c r="C40" s="488" t="s">
        <v>251</v>
      </c>
      <c r="D40" s="488"/>
      <c r="E40" s="488"/>
      <c r="F40" s="488"/>
      <c r="G40" s="488"/>
      <c r="H40" s="488"/>
      <c r="I40" s="488"/>
    </row>
    <row r="57" spans="1:2" ht="15">
      <c r="A57" s="10" t="s">
        <v>201</v>
      </c>
      <c r="B57" s="10"/>
    </row>
    <row r="58" spans="1:2" ht="15">
      <c r="A58" s="132" t="s">
        <v>297</v>
      </c>
      <c r="B58" s="11"/>
    </row>
    <row r="78" ht="15" customHeight="1"/>
    <row r="79" ht="15" customHeight="1"/>
    <row r="80" ht="15" customHeight="1"/>
    <row r="81" ht="15" customHeight="1"/>
  </sheetData>
  <sheetProtection sheet="1" objects="1" scenarios="1"/>
  <mergeCells count="3">
    <mergeCell ref="A1:L1"/>
    <mergeCell ref="A2:L2"/>
    <mergeCell ref="C40:I40"/>
  </mergeCells>
  <printOptions/>
  <pageMargins left="0.74" right="0.2755905511811024" top="0.82" bottom="0.47" header="0.46" footer="0"/>
  <pageSetup fitToHeight="1" fitToWidth="1" horizontalDpi="400" verticalDpi="400" orientation="portrait" paperSize="9" scale="80" r:id="rId2"/>
  <headerFooter alignWithMargins="0">
    <oddHeader>&amp;L&amp;"Arial,Fet"Segelflyget&amp;R&amp;D</oddHeader>
    <oddFooter>&amp;L&amp;8&amp;A&amp;C&amp;8&amp;P  ( &amp;N )&amp;R&amp;8&amp;F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30"/>
  <sheetViews>
    <sheetView showZeros="0" zoomScale="85" zoomScaleNormal="85" zoomScalePageLayoutView="0" workbookViewId="0" topLeftCell="A1">
      <selection activeCell="B14" sqref="B14"/>
    </sheetView>
  </sheetViews>
  <sheetFormatPr defaultColWidth="9.140625" defaultRowHeight="12.75"/>
  <cols>
    <col min="1" max="1" width="4.7109375" style="287" customWidth="1"/>
    <col min="2" max="2" width="86.57421875" style="287" customWidth="1"/>
    <col min="3" max="16384" width="9.140625" style="287" customWidth="1"/>
  </cols>
  <sheetData>
    <row r="1" spans="1:2" ht="18">
      <c r="A1" s="489" t="s">
        <v>20</v>
      </c>
      <c r="B1" s="489"/>
    </row>
    <row r="2" spans="1:2" ht="18">
      <c r="A2" s="288"/>
      <c r="B2" s="286"/>
    </row>
    <row r="3" s="289" customFormat="1" ht="12.75"/>
    <row r="4" spans="1:2" s="289" customFormat="1" ht="15">
      <c r="A4" s="290"/>
      <c r="B4" s="290"/>
    </row>
    <row r="5" spans="1:2" s="289" customFormat="1" ht="45.75" customHeight="1">
      <c r="A5" s="291"/>
      <c r="B5" s="292" t="s">
        <v>272</v>
      </c>
    </row>
    <row r="6" spans="1:2" s="289" customFormat="1" ht="15.75" customHeight="1">
      <c r="A6" s="291"/>
      <c r="B6" s="293"/>
    </row>
    <row r="7" spans="1:2" s="289" customFormat="1" ht="15.75" customHeight="1">
      <c r="A7" s="291"/>
      <c r="B7" s="293"/>
    </row>
    <row r="8" spans="1:2" s="289" customFormat="1" ht="15.75" customHeight="1">
      <c r="A8" s="291"/>
      <c r="B8" s="294"/>
    </row>
    <row r="9" spans="1:2" s="289" customFormat="1" ht="15.75" customHeight="1">
      <c r="A9" s="291"/>
      <c r="B9" s="293"/>
    </row>
    <row r="10" spans="1:2" s="289" customFormat="1" ht="15.75" customHeight="1">
      <c r="A10" s="291"/>
      <c r="B10" s="293"/>
    </row>
    <row r="11" spans="1:2" s="289" customFormat="1" ht="15.75" customHeight="1">
      <c r="A11" s="291"/>
      <c r="B11" s="293"/>
    </row>
    <row r="12" spans="1:2" s="289" customFormat="1" ht="15.75" customHeight="1">
      <c r="A12" s="291"/>
      <c r="B12" s="293"/>
    </row>
    <row r="13" spans="1:6" s="289" customFormat="1" ht="15.75" customHeight="1">
      <c r="A13" s="291"/>
      <c r="B13" s="293"/>
      <c r="F13" s="289">
        <f>IF(J31=0,0,750-J31)</f>
        <v>0</v>
      </c>
    </row>
    <row r="14" spans="1:2" s="289" customFormat="1" ht="15.75" customHeight="1">
      <c r="A14" s="291"/>
      <c r="B14" s="293"/>
    </row>
    <row r="15" spans="1:2" s="289" customFormat="1" ht="15.75" customHeight="1">
      <c r="A15" s="291"/>
      <c r="B15" s="280" t="s">
        <v>285</v>
      </c>
    </row>
    <row r="16" spans="1:2" s="289" customFormat="1" ht="15.75" customHeight="1">
      <c r="A16" s="291"/>
      <c r="B16" s="280" t="s">
        <v>102</v>
      </c>
    </row>
    <row r="17" spans="1:2" s="289" customFormat="1" ht="15.75" customHeight="1">
      <c r="A17" s="291"/>
      <c r="B17" s="280" t="s">
        <v>284</v>
      </c>
    </row>
    <row r="18" spans="1:2" s="289" customFormat="1" ht="15.75" customHeight="1">
      <c r="A18" s="291"/>
      <c r="B18" s="293"/>
    </row>
    <row r="19" spans="1:2" s="289" customFormat="1" ht="15.75" customHeight="1">
      <c r="A19" s="291"/>
      <c r="B19" s="152" t="s">
        <v>103</v>
      </c>
    </row>
    <row r="20" spans="1:2" s="289" customFormat="1" ht="15.75" customHeight="1">
      <c r="A20" s="291"/>
      <c r="B20" s="152" t="s">
        <v>108</v>
      </c>
    </row>
    <row r="21" spans="1:2" s="289" customFormat="1" ht="15.75" customHeight="1">
      <c r="A21" s="291"/>
      <c r="B21" s="295" t="s">
        <v>107</v>
      </c>
    </row>
    <row r="22" spans="1:2" s="289" customFormat="1" ht="15.75" customHeight="1">
      <c r="A22" s="291"/>
      <c r="B22" s="291"/>
    </row>
    <row r="23" spans="1:2" s="289" customFormat="1" ht="15.75" customHeight="1">
      <c r="A23" s="291"/>
      <c r="B23" s="291"/>
    </row>
    <row r="24" spans="1:2" s="289" customFormat="1" ht="15.75" customHeight="1">
      <c r="A24" s="291"/>
      <c r="B24" s="280"/>
    </row>
    <row r="25" spans="1:2" s="289" customFormat="1" ht="15.75" customHeight="1">
      <c r="A25" s="324" t="s">
        <v>22</v>
      </c>
      <c r="B25" s="324"/>
    </row>
    <row r="26" spans="1:2" s="289" customFormat="1" ht="15.75" customHeight="1">
      <c r="A26" s="324" t="s">
        <v>23</v>
      </c>
      <c r="B26" s="324"/>
    </row>
    <row r="27" spans="1:2" ht="15.75" customHeight="1">
      <c r="A27" s="490" t="s">
        <v>37</v>
      </c>
      <c r="B27" s="490"/>
    </row>
    <row r="28" spans="1:2" ht="15.75">
      <c r="A28" s="120" t="s">
        <v>21</v>
      </c>
      <c r="B28" s="296"/>
    </row>
    <row r="29" spans="1:2" ht="15.75">
      <c r="A29" s="299" t="s">
        <v>297</v>
      </c>
      <c r="B29" s="4"/>
    </row>
    <row r="30" spans="1:2" ht="9.75" customHeight="1">
      <c r="A30" s="296"/>
      <c r="B30" s="296"/>
    </row>
  </sheetData>
  <sheetProtection sheet="1" objects="1" scenarios="1"/>
  <mergeCells count="4">
    <mergeCell ref="A1:B1"/>
    <mergeCell ref="A27:B27"/>
    <mergeCell ref="A26:B26"/>
    <mergeCell ref="A25:B25"/>
  </mergeCells>
  <dataValidations count="1">
    <dataValidation allowBlank="1" showInputMessage="1" showErrorMessage="1" prompt="Dubbelklicka på Pdf filen nedan" sqref="B5"/>
  </dataValidations>
  <hyperlinks>
    <hyperlink ref="B21" r:id="rId1" display="http://www.adobe.com/se/products/acrobat/readstep2.html"/>
  </hyperlinks>
  <printOptions/>
  <pageMargins left="0.74" right="0.2755905511811024" top="0.82" bottom="0.47" header="0.46" footer="0"/>
  <pageSetup fitToHeight="1" fitToWidth="1" horizontalDpi="400" verticalDpi="400" orientation="portrait" paperSize="9" r:id="rId5"/>
  <headerFooter alignWithMargins="0">
    <oddHeader>&amp;L&amp;"Arial,Fet"Segelflyget&amp;R&amp;D</oddHeader>
    <oddFooter>&amp;L&amp;8&amp;A&amp;C&amp;8&amp;P  ( &amp;N )&amp;R&amp;8&amp;F</oddFooter>
  </headerFooter>
  <drawing r:id="rId4"/>
  <legacyDrawing r:id="rId3"/>
  <oleObjects>
    <oleObject progId="AcroExch.Document" shapeId="3615923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G56"/>
  <sheetViews>
    <sheetView showZeros="0" zoomScalePageLayoutView="0" workbookViewId="0" topLeftCell="A1">
      <selection activeCell="B7" sqref="B7"/>
    </sheetView>
  </sheetViews>
  <sheetFormatPr defaultColWidth="9.140625" defaultRowHeight="12.75"/>
  <cols>
    <col min="1" max="1" width="4.7109375" style="7" customWidth="1"/>
    <col min="2" max="2" width="91.28125" style="7" customWidth="1"/>
    <col min="3" max="16384" width="9.140625" style="7" customWidth="1"/>
  </cols>
  <sheetData>
    <row r="1" spans="1:2" ht="18">
      <c r="A1" s="13"/>
      <c r="B1" s="12" t="str">
        <f>CONCATENATE("Driftfärdplan ",'Grunddata flpl'!B10)</f>
        <v>Driftfärdplan Grob G 109B</v>
      </c>
    </row>
    <row r="2" spans="1:2" ht="15.75">
      <c r="A2" s="228"/>
      <c r="B2" s="12" t="str">
        <f>'Grunddata flpl'!B11</f>
        <v>SE-UAB</v>
      </c>
    </row>
    <row r="3" s="6" customFormat="1" ht="12.75">
      <c r="B3" s="249" t="str">
        <f>CONCATENATE(Utgåva!A25)</f>
        <v>Utgåva</v>
      </c>
    </row>
    <row r="4" spans="1:2" s="6" customFormat="1" ht="12.75">
      <c r="A4" s="491" t="str">
        <f>Utgåva!A26</f>
        <v>KSFK 4</v>
      </c>
      <c r="B4" s="491"/>
    </row>
    <row r="5" spans="1:2" s="6" customFormat="1" ht="15.75">
      <c r="A5" s="9"/>
      <c r="B5" s="66" t="s">
        <v>138</v>
      </c>
    </row>
    <row r="6" spans="1:2" s="6" customFormat="1" ht="15.75">
      <c r="A6" s="9"/>
      <c r="B6" s="66"/>
    </row>
    <row r="7" spans="1:2" s="225" customFormat="1" ht="15.75" customHeight="1">
      <c r="A7" s="196">
        <v>1</v>
      </c>
      <c r="B7" s="229" t="s">
        <v>266</v>
      </c>
    </row>
    <row r="8" spans="1:2" s="225" customFormat="1" ht="15.75" customHeight="1">
      <c r="A8" s="196"/>
      <c r="B8" s="197" t="s">
        <v>267</v>
      </c>
    </row>
    <row r="9" spans="1:7" s="225" customFormat="1" ht="19.5" customHeight="1">
      <c r="A9" s="230"/>
      <c r="B9" s="223" t="s">
        <v>273</v>
      </c>
      <c r="G9" s="297"/>
    </row>
    <row r="10" spans="1:2" s="196" customFormat="1" ht="14.25">
      <c r="A10" s="194">
        <v>2</v>
      </c>
      <c r="B10" s="194" t="s">
        <v>268</v>
      </c>
    </row>
    <row r="11" spans="1:2" s="196" customFormat="1" ht="19.5" customHeight="1">
      <c r="A11" s="194"/>
      <c r="B11" s="231" t="s">
        <v>274</v>
      </c>
    </row>
    <row r="12" spans="1:2" s="225" customFormat="1" ht="15.75" customHeight="1">
      <c r="A12" s="196">
        <v>3</v>
      </c>
      <c r="B12" s="197" t="s">
        <v>143</v>
      </c>
    </row>
    <row r="13" spans="1:2" s="225" customFormat="1" ht="15.75" customHeight="1">
      <c r="A13" s="194">
        <v>4</v>
      </c>
      <c r="B13" s="195" t="s">
        <v>99</v>
      </c>
    </row>
    <row r="14" spans="1:2" s="225" customFormat="1" ht="15.75" customHeight="1">
      <c r="A14" s="194"/>
      <c r="B14" s="195" t="s">
        <v>106</v>
      </c>
    </row>
    <row r="15" spans="1:2" s="225" customFormat="1" ht="15.75" customHeight="1">
      <c r="A15" s="196">
        <v>5</v>
      </c>
      <c r="B15" s="232" t="s">
        <v>104</v>
      </c>
    </row>
    <row r="16" spans="1:2" s="225" customFormat="1" ht="15.75" customHeight="1">
      <c r="A16" s="194">
        <v>6</v>
      </c>
      <c r="B16" s="195" t="s">
        <v>120</v>
      </c>
    </row>
    <row r="17" spans="1:2" s="225" customFormat="1" ht="15.75" customHeight="1">
      <c r="A17" s="194"/>
      <c r="B17" s="195" t="s">
        <v>12</v>
      </c>
    </row>
    <row r="18" spans="1:2" s="225" customFormat="1" ht="15.75" customHeight="1">
      <c r="A18" s="196">
        <v>7</v>
      </c>
      <c r="B18" s="197" t="s">
        <v>100</v>
      </c>
    </row>
    <row r="19" spans="1:2" s="225" customFormat="1" ht="15.75" customHeight="1">
      <c r="A19" s="194">
        <v>8</v>
      </c>
      <c r="B19" s="195" t="s">
        <v>19</v>
      </c>
    </row>
    <row r="20" spans="1:2" s="225" customFormat="1" ht="15.75" customHeight="1">
      <c r="A20" s="196">
        <v>9</v>
      </c>
      <c r="B20" s="197" t="s">
        <v>10</v>
      </c>
    </row>
    <row r="21" spans="1:2" s="225" customFormat="1" ht="15.75" customHeight="1">
      <c r="A21" s="196"/>
      <c r="B21" s="197" t="s">
        <v>13</v>
      </c>
    </row>
    <row r="22" spans="1:2" s="225" customFormat="1" ht="15.75" customHeight="1">
      <c r="A22" s="194">
        <v>10</v>
      </c>
      <c r="B22" s="195" t="s">
        <v>121</v>
      </c>
    </row>
    <row r="23" spans="1:2" s="225" customFormat="1" ht="15.75" customHeight="1">
      <c r="A23" s="194"/>
      <c r="B23" s="195" t="s">
        <v>14</v>
      </c>
    </row>
    <row r="24" spans="1:2" s="225" customFormat="1" ht="15.75" customHeight="1">
      <c r="A24" s="196">
        <v>11</v>
      </c>
      <c r="B24" s="197" t="s">
        <v>125</v>
      </c>
    </row>
    <row r="25" spans="1:2" s="225" customFormat="1" ht="15.75" customHeight="1">
      <c r="A25" s="196"/>
      <c r="B25" s="197" t="s">
        <v>126</v>
      </c>
    </row>
    <row r="26" spans="1:2" s="225" customFormat="1" ht="15.75" customHeight="1">
      <c r="A26" s="194">
        <v>12</v>
      </c>
      <c r="B26" s="195" t="s">
        <v>38</v>
      </c>
    </row>
    <row r="27" spans="1:2" s="225" customFormat="1" ht="15.75" customHeight="1">
      <c r="A27" s="196">
        <v>13</v>
      </c>
      <c r="B27" s="197" t="s">
        <v>40</v>
      </c>
    </row>
    <row r="28" spans="1:2" s="225" customFormat="1" ht="15.75" customHeight="1">
      <c r="A28" s="196"/>
      <c r="B28" s="197" t="s">
        <v>122</v>
      </c>
    </row>
    <row r="29" spans="1:2" s="225" customFormat="1" ht="15.75" customHeight="1">
      <c r="A29" s="194">
        <v>14</v>
      </c>
      <c r="B29" s="195" t="s">
        <v>41</v>
      </c>
    </row>
    <row r="30" spans="1:2" s="225" customFormat="1" ht="15.75" customHeight="1">
      <c r="A30" s="196">
        <v>15</v>
      </c>
      <c r="B30" s="196" t="s">
        <v>123</v>
      </c>
    </row>
    <row r="31" spans="1:2" s="225" customFormat="1" ht="15.75" customHeight="1">
      <c r="A31" s="194">
        <v>16</v>
      </c>
      <c r="B31" s="194" t="s">
        <v>16</v>
      </c>
    </row>
    <row r="32" spans="1:2" s="225" customFormat="1" ht="15.75" customHeight="1">
      <c r="A32" s="194"/>
      <c r="B32" s="194" t="s">
        <v>124</v>
      </c>
    </row>
    <row r="33" spans="1:2" s="225" customFormat="1" ht="15.75" customHeight="1">
      <c r="A33" s="194"/>
      <c r="B33" s="198" t="s">
        <v>18</v>
      </c>
    </row>
    <row r="34" spans="1:2" s="225" customFormat="1" ht="15.75" customHeight="1">
      <c r="A34" s="196">
        <v>17</v>
      </c>
      <c r="B34" s="199" t="s">
        <v>11</v>
      </c>
    </row>
    <row r="35" spans="1:2" s="225" customFormat="1" ht="15.75" customHeight="1">
      <c r="A35" s="196"/>
      <c r="B35" s="199" t="s">
        <v>42</v>
      </c>
    </row>
    <row r="36" spans="1:2" s="225" customFormat="1" ht="15.75" customHeight="1">
      <c r="A36" s="196"/>
      <c r="B36" s="199" t="s">
        <v>137</v>
      </c>
    </row>
    <row r="37" spans="1:2" s="225" customFormat="1" ht="15.75" customHeight="1">
      <c r="A37" s="194">
        <v>18</v>
      </c>
      <c r="B37" s="194" t="s">
        <v>101</v>
      </c>
    </row>
    <row r="38" spans="1:2" s="225" customFormat="1" ht="15.75" customHeight="1">
      <c r="A38" s="194"/>
      <c r="B38" s="194" t="s">
        <v>144</v>
      </c>
    </row>
    <row r="39" spans="1:2" s="225" customFormat="1" ht="15.75" customHeight="1">
      <c r="A39" s="194"/>
      <c r="B39" s="194" t="s">
        <v>202</v>
      </c>
    </row>
    <row r="40" spans="1:2" s="225" customFormat="1" ht="15.75" customHeight="1">
      <c r="A40" s="194"/>
      <c r="B40" s="194" t="s">
        <v>203</v>
      </c>
    </row>
    <row r="41" spans="1:2" s="225" customFormat="1" ht="15.75" customHeight="1">
      <c r="A41" s="196">
        <v>19</v>
      </c>
      <c r="B41" s="196" t="s">
        <v>17</v>
      </c>
    </row>
    <row r="42" spans="1:2" s="225" customFormat="1" ht="15.75" customHeight="1">
      <c r="A42" s="194">
        <v>20</v>
      </c>
      <c r="B42" s="194" t="s">
        <v>43</v>
      </c>
    </row>
    <row r="43" spans="1:2" s="225" customFormat="1" ht="15.75" customHeight="1">
      <c r="A43" s="196">
        <v>21</v>
      </c>
      <c r="B43" s="196" t="s">
        <v>24</v>
      </c>
    </row>
    <row r="44" spans="1:2" s="225" customFormat="1" ht="15.75" customHeight="1">
      <c r="A44" s="196"/>
      <c r="B44" s="196" t="s">
        <v>25</v>
      </c>
    </row>
    <row r="45" spans="1:2" s="225" customFormat="1" ht="15.75" customHeight="1">
      <c r="A45" s="196"/>
      <c r="B45" s="196" t="s">
        <v>206</v>
      </c>
    </row>
    <row r="46" spans="1:2" s="225" customFormat="1" ht="15.75" customHeight="1">
      <c r="A46" s="194">
        <v>22</v>
      </c>
      <c r="B46" s="194" t="s">
        <v>50</v>
      </c>
    </row>
    <row r="47" spans="1:2" s="225" customFormat="1" ht="15.75" customHeight="1">
      <c r="A47" s="196">
        <v>23</v>
      </c>
      <c r="B47" s="196" t="s">
        <v>26</v>
      </c>
    </row>
    <row r="48" spans="1:2" s="225" customFormat="1" ht="15.75" customHeight="1">
      <c r="A48" s="196"/>
      <c r="B48" s="196" t="s">
        <v>44</v>
      </c>
    </row>
    <row r="49" spans="1:2" s="225" customFormat="1" ht="15.75" customHeight="1">
      <c r="A49" s="200">
        <v>24</v>
      </c>
      <c r="B49" s="201" t="s">
        <v>275</v>
      </c>
    </row>
    <row r="50" spans="1:2" s="298" customFormat="1" ht="15.75" customHeight="1">
      <c r="A50" s="200"/>
      <c r="B50" s="202" t="s">
        <v>276</v>
      </c>
    </row>
    <row r="51" spans="1:2" s="298" customFormat="1" ht="15.75" customHeight="1">
      <c r="A51" s="196"/>
      <c r="B51" s="233"/>
    </row>
    <row r="52" spans="1:2" s="225" customFormat="1" ht="15.75" customHeight="1">
      <c r="A52" s="196">
        <v>25</v>
      </c>
      <c r="B52" s="203" t="s">
        <v>39</v>
      </c>
    </row>
    <row r="53" spans="1:2" s="6" customFormat="1" ht="15.75" customHeight="1">
      <c r="A53" s="15"/>
      <c r="B53" s="18"/>
    </row>
    <row r="54" spans="1:2" s="6" customFormat="1" ht="15.75" customHeight="1">
      <c r="A54" s="10" t="s">
        <v>277</v>
      </c>
      <c r="B54" s="17"/>
    </row>
    <row r="55" spans="1:2" ht="15.75" customHeight="1">
      <c r="A55" s="132" t="s">
        <v>297</v>
      </c>
      <c r="B55" s="14"/>
    </row>
    <row r="56" spans="1:2" ht="9.75" customHeight="1">
      <c r="A56" s="4"/>
      <c r="B56" s="4"/>
    </row>
  </sheetData>
  <sheetProtection sheet="1" objects="1" scenarios="1"/>
  <mergeCells count="1">
    <mergeCell ref="A4:B4"/>
  </mergeCells>
  <hyperlinks>
    <hyperlink ref="B11" location="'Grunddata flpl'!B10" display="Du kan också trycka här i så fall"/>
    <hyperlink ref="B9" location="Planering!C4" display="Du kan trycka här för att komma till fliken planering"/>
  </hyperlinks>
  <printOptions/>
  <pageMargins left="0.74" right="0.2755905511811024" top="0.82" bottom="0.47" header="0.46" footer="0"/>
  <pageSetup fitToHeight="1" fitToWidth="1" horizontalDpi="400" verticalDpi="400" orientation="portrait" paperSize="9" scale="66" r:id="rId2"/>
  <headerFooter alignWithMargins="0">
    <oddHeader>&amp;L&amp;"Arial,Fet"Segelflyget&amp;R&amp;D</oddHeader>
    <oddFooter>&amp;L&amp;8&amp;A&amp;C&amp;8&amp;P  ( &amp;N )&amp;R&amp;8&amp;F</oddFooter>
  </headerFooter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70"/>
  <sheetViews>
    <sheetView showZeros="0" zoomScalePageLayoutView="0" workbookViewId="0" topLeftCell="A1">
      <selection activeCell="A70" sqref="A70"/>
    </sheetView>
  </sheetViews>
  <sheetFormatPr defaultColWidth="9.140625" defaultRowHeight="12.75"/>
  <cols>
    <col min="1" max="1" width="3.7109375" style="7" customWidth="1"/>
    <col min="2" max="2" width="18.00390625" style="7" customWidth="1"/>
    <col min="3" max="3" width="11.140625" style="7" customWidth="1"/>
    <col min="4" max="4" width="10.00390625" style="7" customWidth="1"/>
    <col min="5" max="5" width="7.140625" style="7" customWidth="1"/>
    <col min="6" max="6" width="6.140625" style="7" customWidth="1"/>
    <col min="7" max="7" width="10.00390625" style="7" customWidth="1"/>
    <col min="8" max="8" width="1.7109375" style="7" customWidth="1"/>
    <col min="9" max="9" width="13.7109375" style="7" customWidth="1"/>
    <col min="10" max="10" width="6.57421875" style="7" customWidth="1"/>
    <col min="11" max="11" width="5.7109375" style="7" customWidth="1"/>
    <col min="12" max="16384" width="9.140625" style="7" customWidth="1"/>
  </cols>
  <sheetData>
    <row r="1" spans="1:11" ht="15">
      <c r="A1" s="492" t="s">
        <v>105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</row>
    <row r="2" spans="1:11" ht="15">
      <c r="A2" s="492"/>
      <c r="B2" s="492"/>
      <c r="C2" s="492"/>
      <c r="D2" s="492"/>
      <c r="E2" s="492"/>
      <c r="F2" s="492"/>
      <c r="G2" s="492"/>
      <c r="H2" s="492"/>
      <c r="I2" s="492"/>
      <c r="J2" s="492"/>
      <c r="K2" s="492"/>
    </row>
    <row r="6" ht="12.75">
      <c r="B6" s="20" t="s">
        <v>109</v>
      </c>
    </row>
    <row r="7" ht="12.75">
      <c r="B7" s="16" t="s">
        <v>34</v>
      </c>
    </row>
    <row r="8" ht="12.75">
      <c r="B8" s="16" t="s">
        <v>36</v>
      </c>
    </row>
    <row r="9" ht="12.75">
      <c r="B9" s="16" t="s">
        <v>35</v>
      </c>
    </row>
    <row r="11" ht="12.75">
      <c r="D11" s="20" t="s">
        <v>32</v>
      </c>
    </row>
    <row r="12" spans="2:4" ht="12.75">
      <c r="B12" s="21" t="s">
        <v>29</v>
      </c>
      <c r="D12" s="22" t="s">
        <v>31</v>
      </c>
    </row>
    <row r="13" ht="12.75">
      <c r="B13" s="21" t="s">
        <v>30</v>
      </c>
    </row>
    <row r="14" ht="12.75">
      <c r="B14" s="21"/>
    </row>
    <row r="15" spans="1:2" ht="12.75">
      <c r="A15" s="23" t="s">
        <v>28</v>
      </c>
      <c r="B15" s="23"/>
    </row>
    <row r="26" spans="9:10" ht="12.75">
      <c r="I26" s="34"/>
      <c r="J26" s="34" t="s">
        <v>92</v>
      </c>
    </row>
    <row r="27" spans="9:10" ht="12.75">
      <c r="I27" s="34"/>
      <c r="J27" s="34" t="s">
        <v>93</v>
      </c>
    </row>
    <row r="28" spans="9:10" ht="15" customHeight="1">
      <c r="I28" s="34"/>
      <c r="J28" s="34" t="s">
        <v>94</v>
      </c>
    </row>
    <row r="29" spans="9:10" ht="15.75" customHeight="1">
      <c r="I29" s="35"/>
      <c r="J29" s="34" t="s">
        <v>33</v>
      </c>
    </row>
    <row r="30" spans="9:10" ht="15.75" customHeight="1">
      <c r="I30" s="36"/>
      <c r="J30" s="36" t="s">
        <v>95</v>
      </c>
    </row>
    <row r="31" spans="9:10" ht="12.75">
      <c r="I31" s="37"/>
      <c r="J31" s="36" t="s">
        <v>96</v>
      </c>
    </row>
    <row r="32" ht="12.75">
      <c r="J32" s="37" t="s">
        <v>97</v>
      </c>
    </row>
    <row r="33" ht="12.75">
      <c r="J33" s="37" t="s">
        <v>98</v>
      </c>
    </row>
    <row r="46" ht="12.75">
      <c r="B46" s="20" t="s">
        <v>78</v>
      </c>
    </row>
    <row r="48" spans="2:4" ht="12.75">
      <c r="B48" s="24"/>
      <c r="C48" s="24"/>
      <c r="D48" s="24"/>
    </row>
    <row r="49" spans="2:10" ht="14.25">
      <c r="B49" s="24"/>
      <c r="C49" s="24"/>
      <c r="D49" s="24"/>
      <c r="F49" s="24" t="s">
        <v>87</v>
      </c>
      <c r="G49" s="24"/>
      <c r="H49" s="24"/>
      <c r="I49" s="24"/>
      <c r="J49" s="24"/>
    </row>
    <row r="50" spans="2:10" ht="12.75">
      <c r="B50" s="24"/>
      <c r="C50" s="24"/>
      <c r="D50" s="24"/>
      <c r="E50" s="24" t="s">
        <v>76</v>
      </c>
      <c r="F50" s="24"/>
      <c r="G50" s="24"/>
      <c r="H50" s="24"/>
      <c r="I50" s="33" t="s">
        <v>77</v>
      </c>
      <c r="J50" s="24"/>
    </row>
    <row r="51" spans="2:10" ht="12.75">
      <c r="B51" s="24"/>
      <c r="C51" s="24"/>
      <c r="D51" s="24"/>
      <c r="F51" s="24"/>
      <c r="G51" s="24"/>
      <c r="H51" s="24"/>
      <c r="I51" s="24"/>
      <c r="J51" s="24"/>
    </row>
    <row r="52" spans="2:10" ht="12.75">
      <c r="B52" s="33"/>
      <c r="C52" s="24"/>
      <c r="D52" s="33" t="s">
        <v>81</v>
      </c>
      <c r="F52" s="33"/>
      <c r="G52" s="24"/>
      <c r="H52" s="24"/>
      <c r="I52" s="24"/>
      <c r="J52" s="24"/>
    </row>
    <row r="53" spans="2:10" ht="14.25">
      <c r="B53" s="33"/>
      <c r="C53" s="24"/>
      <c r="D53" s="24" t="s">
        <v>85</v>
      </c>
      <c r="F53" s="33"/>
      <c r="G53" s="24"/>
      <c r="H53" s="24" t="s">
        <v>84</v>
      </c>
      <c r="I53" s="24"/>
      <c r="J53" s="24"/>
    </row>
    <row r="54" spans="2:10" ht="14.25">
      <c r="B54" s="24"/>
      <c r="C54" s="24"/>
      <c r="D54" s="24"/>
      <c r="F54" s="24"/>
      <c r="G54" s="24"/>
      <c r="H54" s="24" t="s">
        <v>86</v>
      </c>
      <c r="I54" s="24"/>
      <c r="J54" s="24"/>
    </row>
    <row r="55" spans="2:10" ht="12.75">
      <c r="B55" s="24"/>
      <c r="C55" s="24"/>
      <c r="D55" s="24"/>
      <c r="F55" s="24"/>
      <c r="G55" s="24"/>
      <c r="H55" s="24"/>
      <c r="I55" s="24"/>
      <c r="J55" s="24"/>
    </row>
    <row r="56" spans="2:10" ht="12.75">
      <c r="B56" s="24"/>
      <c r="C56" s="24"/>
      <c r="D56" s="24"/>
      <c r="E56" s="24"/>
      <c r="G56" s="24"/>
      <c r="H56" s="24"/>
      <c r="I56" s="24"/>
      <c r="J56" s="24"/>
    </row>
    <row r="57" spans="2:5" ht="12.75">
      <c r="B57" s="24"/>
      <c r="C57" s="24"/>
      <c r="D57" s="24"/>
      <c r="E57" s="24"/>
    </row>
    <row r="59" spans="2:3" ht="12.75">
      <c r="B59" s="7" t="s">
        <v>79</v>
      </c>
      <c r="C59" s="7" t="s">
        <v>83</v>
      </c>
    </row>
    <row r="60" ht="12.75">
      <c r="C60" s="7" t="s">
        <v>89</v>
      </c>
    </row>
    <row r="61" ht="12.75">
      <c r="C61" s="7" t="s">
        <v>117</v>
      </c>
    </row>
    <row r="63" spans="2:3" ht="12.75">
      <c r="B63" s="7" t="s">
        <v>80</v>
      </c>
      <c r="C63" s="7" t="s">
        <v>82</v>
      </c>
    </row>
    <row r="64" ht="12.75">
      <c r="C64" s="7" t="s">
        <v>90</v>
      </c>
    </row>
    <row r="66" spans="2:3" ht="12.75">
      <c r="B66" s="7" t="s">
        <v>88</v>
      </c>
      <c r="C66" s="7" t="s">
        <v>118</v>
      </c>
    </row>
    <row r="67" ht="12.75">
      <c r="C67" s="7" t="s">
        <v>91</v>
      </c>
    </row>
    <row r="69" ht="12.75">
      <c r="A69" s="10" t="s">
        <v>21</v>
      </c>
    </row>
    <row r="70" ht="12.75">
      <c r="A70" s="279" t="s">
        <v>297</v>
      </c>
    </row>
  </sheetData>
  <sheetProtection sheet="1" objects="1" scenarios="1"/>
  <mergeCells count="2">
    <mergeCell ref="A1:K1"/>
    <mergeCell ref="A2:K2"/>
  </mergeCells>
  <printOptions/>
  <pageMargins left="0.74" right="0.2755905511811024" top="0.82" bottom="0.47" header="0.46" footer="0"/>
  <pageSetup fitToHeight="1" fitToWidth="1" horizontalDpi="400" verticalDpi="400" orientation="portrait" paperSize="9" scale="83" r:id="rId2"/>
  <headerFooter alignWithMargins="0">
    <oddHeader>&amp;L&amp;"Arial,Fet"Segelflyget&amp;R&amp;D</oddHeader>
    <oddFooter>&amp;L&amp;8&amp;A&amp;C&amp;8&amp;P  ( &amp;N )&amp;R&amp;8&amp;F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B34"/>
  <sheetViews>
    <sheetView showZeros="0" zoomScale="82" zoomScaleNormal="82" zoomScalePageLayoutView="0" workbookViewId="0" topLeftCell="A1">
      <selection activeCell="B27" sqref="B27"/>
    </sheetView>
  </sheetViews>
  <sheetFormatPr defaultColWidth="9.140625" defaultRowHeight="12.75"/>
  <cols>
    <col min="1" max="1" width="38.00390625" style="7" customWidth="1"/>
    <col min="2" max="2" width="60.421875" style="7" customWidth="1"/>
    <col min="3" max="16384" width="9.140625" style="7" customWidth="1"/>
  </cols>
  <sheetData>
    <row r="1" spans="1:2" ht="18" customHeight="1">
      <c r="A1" s="310" t="s">
        <v>226</v>
      </c>
      <c r="B1" s="387"/>
    </row>
    <row r="2" spans="1:2" ht="15.75">
      <c r="A2" s="312" t="s">
        <v>227</v>
      </c>
      <c r="B2" s="388"/>
    </row>
    <row r="3" spans="1:2" s="6" customFormat="1" ht="12.75">
      <c r="A3" s="109"/>
      <c r="B3" s="135"/>
    </row>
    <row r="4" spans="1:2" s="6" customFormat="1" ht="12.75">
      <c r="A4" s="109"/>
      <c r="B4" s="135"/>
    </row>
    <row r="5" spans="1:2" s="6" customFormat="1" ht="15.75" customHeight="1">
      <c r="A5" s="495" t="s">
        <v>228</v>
      </c>
      <c r="B5" s="496"/>
    </row>
    <row r="6" spans="1:2" s="6" customFormat="1" ht="15.75">
      <c r="A6" s="136"/>
      <c r="B6" s="100"/>
    </row>
    <row r="7" spans="1:2" s="6" customFormat="1" ht="15">
      <c r="A7" s="495" t="s">
        <v>231</v>
      </c>
      <c r="B7" s="449"/>
    </row>
    <row r="8" spans="1:2" s="6" customFormat="1" ht="15.75" customHeight="1">
      <c r="A8" s="138"/>
      <c r="B8" s="115"/>
    </row>
    <row r="9" spans="1:2" s="6" customFormat="1" ht="15.75" customHeight="1">
      <c r="A9" s="136" t="s">
        <v>219</v>
      </c>
      <c r="B9" s="137" t="s">
        <v>220</v>
      </c>
    </row>
    <row r="10" spans="1:2" s="6" customFormat="1" ht="19.5" customHeight="1">
      <c r="A10" s="92" t="s">
        <v>224</v>
      </c>
      <c r="B10" s="94" t="s">
        <v>308</v>
      </c>
    </row>
    <row r="11" spans="1:2" s="6" customFormat="1" ht="19.5" customHeight="1">
      <c r="A11" s="93" t="s">
        <v>221</v>
      </c>
      <c r="B11" s="95" t="s">
        <v>309</v>
      </c>
    </row>
    <row r="12" spans="1:2" s="6" customFormat="1" ht="19.5" customHeight="1">
      <c r="A12" s="92" t="s">
        <v>230</v>
      </c>
      <c r="B12" s="95" t="s">
        <v>310</v>
      </c>
    </row>
    <row r="13" spans="1:2" s="6" customFormat="1" ht="19.5" customHeight="1">
      <c r="A13" s="93" t="s">
        <v>233</v>
      </c>
      <c r="B13" s="95" t="s">
        <v>311</v>
      </c>
    </row>
    <row r="14" spans="1:2" s="6" customFormat="1" ht="19.5" customHeight="1">
      <c r="A14" s="92" t="s">
        <v>248</v>
      </c>
      <c r="B14" s="95" t="s">
        <v>232</v>
      </c>
    </row>
    <row r="15" spans="1:2" s="6" customFormat="1" ht="15.75" customHeight="1">
      <c r="A15" s="93" t="s">
        <v>247</v>
      </c>
      <c r="B15" s="96">
        <v>14</v>
      </c>
    </row>
    <row r="16" spans="1:2" s="6" customFormat="1" ht="15.75" customHeight="1">
      <c r="A16" s="97" t="s">
        <v>269</v>
      </c>
      <c r="B16" s="99">
        <v>0.75</v>
      </c>
    </row>
    <row r="17" spans="1:2" s="6" customFormat="1" ht="15.75" customHeight="1">
      <c r="A17" s="93" t="s">
        <v>223</v>
      </c>
      <c r="B17" s="96">
        <v>2</v>
      </c>
    </row>
    <row r="18" spans="1:2" s="6" customFormat="1" ht="15.75" customHeight="1">
      <c r="A18" s="92" t="s">
        <v>225</v>
      </c>
      <c r="B18" s="96">
        <v>100</v>
      </c>
    </row>
    <row r="19" spans="1:2" s="6" customFormat="1" ht="15.75" customHeight="1">
      <c r="A19" s="93" t="s">
        <v>222</v>
      </c>
      <c r="B19" s="95">
        <v>666</v>
      </c>
    </row>
    <row r="20" spans="1:2" s="6" customFormat="1" ht="15.75" customHeight="1">
      <c r="A20" s="92" t="s">
        <v>246</v>
      </c>
      <c r="B20" s="96">
        <v>70</v>
      </c>
    </row>
    <row r="21" spans="1:2" s="6" customFormat="1" ht="15.75" customHeight="1">
      <c r="A21" s="93" t="s">
        <v>259</v>
      </c>
      <c r="B21" s="96">
        <v>220</v>
      </c>
    </row>
    <row r="22" spans="1:2" s="6" customFormat="1" ht="15.75" customHeight="1">
      <c r="A22" s="92" t="s">
        <v>245</v>
      </c>
      <c r="B22" s="95">
        <v>20</v>
      </c>
    </row>
    <row r="23" spans="1:2" s="6" customFormat="1" ht="15.75" customHeight="1">
      <c r="A23" s="93" t="s">
        <v>237</v>
      </c>
      <c r="B23" s="95">
        <v>850</v>
      </c>
    </row>
    <row r="24" spans="1:2" s="6" customFormat="1" ht="15.75" customHeight="1">
      <c r="A24" s="92" t="s">
        <v>244</v>
      </c>
      <c r="B24" s="95">
        <v>28</v>
      </c>
    </row>
    <row r="25" spans="1:2" s="6" customFormat="1" ht="15.75" customHeight="1">
      <c r="A25" s="93" t="s">
        <v>229</v>
      </c>
      <c r="B25" s="95">
        <v>115</v>
      </c>
    </row>
    <row r="26" spans="1:2" s="6" customFormat="1" ht="15.75" customHeight="1">
      <c r="A26" s="92" t="s">
        <v>241</v>
      </c>
      <c r="B26" s="103">
        <v>1.1</v>
      </c>
    </row>
    <row r="27" spans="1:2" s="6" customFormat="1" ht="15.75" customHeight="1">
      <c r="A27" s="139"/>
      <c r="B27" s="140"/>
    </row>
    <row r="28" spans="1:2" s="6" customFormat="1" ht="15.75" customHeight="1">
      <c r="A28" s="138"/>
      <c r="B28" s="115" t="s">
        <v>264</v>
      </c>
    </row>
    <row r="29" spans="1:2" s="6" customFormat="1" ht="15.75" customHeight="1">
      <c r="A29" s="493" t="s">
        <v>265</v>
      </c>
      <c r="B29" s="494"/>
    </row>
    <row r="30" spans="1:2" s="6" customFormat="1" ht="15.75" customHeight="1">
      <c r="A30" s="192"/>
      <c r="B30" s="158"/>
    </row>
    <row r="31" spans="1:2" ht="15.75" customHeight="1">
      <c r="A31" s="110"/>
      <c r="B31" s="111"/>
    </row>
    <row r="32" spans="1:2" ht="12.75">
      <c r="A32" s="116" t="s">
        <v>21</v>
      </c>
      <c r="B32" s="143"/>
    </row>
    <row r="33" spans="1:2" ht="12.75">
      <c r="A33" s="132" t="s">
        <v>297</v>
      </c>
      <c r="B33" s="144"/>
    </row>
    <row r="34" spans="1:2" ht="9.75" customHeight="1">
      <c r="A34" s="113"/>
      <c r="B34" s="121"/>
    </row>
  </sheetData>
  <sheetProtection sheet="1" objects="1" scenarios="1"/>
  <mergeCells count="5">
    <mergeCell ref="A29:B29"/>
    <mergeCell ref="A2:B2"/>
    <mergeCell ref="A1:B1"/>
    <mergeCell ref="A5:B5"/>
    <mergeCell ref="A7:B7"/>
  </mergeCells>
  <dataValidations count="17">
    <dataValidation allowBlank="1" showInputMessage="1" showErrorMessage="1" prompt="Skriv Flygplanstyp&#10;Ex&#10;Samburo AVo 68-R100" sqref="B10"/>
    <dataValidation allowBlank="1" showInputMessage="1" showErrorMessage="1" prompt="Skriv Registreringsbeteckning&#10;Ex SE-UCS" sqref="B11"/>
    <dataValidation allowBlank="1" showInputMessage="1" showErrorMessage="1" prompt="Skriv antal liter/timme&#10;vid Marchfart" sqref="B15"/>
    <dataValidation allowBlank="1" showInputMessage="1" showErrorMessage="1" prompt="Värde ändras normalt INTE&#10;&#10;Reservbränsle &#10;normalt 45min dvs 0,75 tim&#10;" sqref="B16"/>
    <dataValidation allowBlank="1" showInputMessage="1" showErrorMessage="1" prompt="Skriv antal liter om normalt inte kan användas och då det anses tomt i tanken" sqref="B17"/>
    <dataValidation allowBlank="1" showInputMessage="1" showErrorMessage="1" prompt="Skriv antal liter max i bränsletanken" sqref="B18"/>
    <dataValidation allowBlank="1" showInputMessage="1" showErrorMessage="1" prompt="Skriv flpl tomvikt" sqref="B19"/>
    <dataValidation allowBlank="1" showInputMessage="1" showErrorMessage="1" prompt="Skriv flpl max pilotvikt/vikter enl&#10;dataskylt" sqref="B21"/>
    <dataValidation allowBlank="1" showInputMessage="1" showErrorMessage="1" prompt="Skriv max bagagevikt&#10;Ange 0 utifall det inte finns något bagageutrymme" sqref="B22"/>
    <dataValidation allowBlank="1" showInputMessage="1" showErrorMessage="1" prompt="Skriv flpl max startvikt" sqref="B23"/>
    <dataValidation allowBlank="1" showInputMessage="1" showErrorMessage="1" prompt="Skriv bästa glidtal&#10;ex 25 (om 1:25)" sqref="B24"/>
    <dataValidation allowBlank="1" showInputMessage="1" showErrorMessage="1" prompt="Skriv bästa glid km/h&#10;ex 105" sqref="B25"/>
    <dataValidation allowBlank="1" showInputMessage="1" showErrorMessage="1" prompt="Skriv Registreringsbeteckning&#10;förkortning&#10;Ex CS" sqref="B12"/>
    <dataValidation allowBlank="1" showInputMessage="1" showErrorMessage="1" prompt="Skriv rekomenderad bränsletyp&#10;1:a hand" sqref="B13"/>
    <dataValidation allowBlank="1" showInputMessage="1" showErrorMessage="1" prompt="Skriv rekomenderad bränsletyp&#10;2:a hand" sqref="B14"/>
    <dataValidation allowBlank="1" showInputMessage="1" showErrorMessage="1" prompt="Skriv flpl min pilotvikt enl&#10;dataskylt" sqref="B20"/>
    <dataValidation allowBlank="1" showInputMessage="1" showErrorMessage="1" prompt="Skriv sjunkhastighetl&#10;ex 1,20 (vid bästa glid)&#10;enl polardiagram" sqref="B26"/>
  </dataValidations>
  <hyperlinks>
    <hyperlink ref="A29" location="Planering!B8" display="Gå till Planering, genom att trycka här"/>
  </hyperlinks>
  <printOptions/>
  <pageMargins left="0.74" right="0.2755905511811024" top="0.82" bottom="0.47" header="0.46" footer="0"/>
  <pageSetup fitToHeight="1" fitToWidth="1" horizontalDpi="400" verticalDpi="400" orientation="portrait" paperSize="9" scale="95" r:id="rId2"/>
  <headerFooter alignWithMargins="0">
    <oddHeader>&amp;L&amp;"Arial,Fet"Segelflyget&amp;R&amp;D</oddHeader>
    <oddFooter>&amp;L&amp;8&amp;A&amp;C&amp;8&amp;P  ( &amp;N )&amp;R&amp;8&amp;F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C30"/>
  <sheetViews>
    <sheetView showZeros="0" zoomScale="82" zoomScaleNormal="82" zoomScalePageLayoutView="0" workbookViewId="0" topLeftCell="A1">
      <selection activeCell="C26" sqref="C26"/>
    </sheetView>
  </sheetViews>
  <sheetFormatPr defaultColWidth="9.140625" defaultRowHeight="12.75"/>
  <cols>
    <col min="1" max="1" width="10.00390625" style="0" customWidth="1"/>
    <col min="2" max="2" width="14.28125" style="7" customWidth="1"/>
    <col min="3" max="3" width="91.28125" style="7" customWidth="1"/>
    <col min="4" max="16384" width="9.140625" style="7" customWidth="1"/>
  </cols>
  <sheetData>
    <row r="1" spans="1:3" ht="18" customHeight="1">
      <c r="A1" s="310" t="s">
        <v>27</v>
      </c>
      <c r="B1" s="311"/>
      <c r="C1" s="387"/>
    </row>
    <row r="2" spans="1:3" ht="15.75">
      <c r="A2" s="312" t="s">
        <v>15</v>
      </c>
      <c r="B2" s="313"/>
      <c r="C2" s="388"/>
    </row>
    <row r="3" spans="1:3" s="6" customFormat="1" ht="14.25" customHeight="1">
      <c r="A3" s="502"/>
      <c r="B3" s="503"/>
      <c r="C3" s="504"/>
    </row>
    <row r="4" spans="1:3" s="6" customFormat="1" ht="12.75">
      <c r="A4" s="502"/>
      <c r="B4" s="503"/>
      <c r="C4" s="504"/>
    </row>
    <row r="5" spans="1:3" s="6" customFormat="1" ht="15.75">
      <c r="A5" s="312"/>
      <c r="B5" s="313"/>
      <c r="C5" s="137" t="s">
        <v>139</v>
      </c>
    </row>
    <row r="6" spans="1:3" s="6" customFormat="1" ht="15.75" customHeight="1">
      <c r="A6" s="499"/>
      <c r="B6" s="500"/>
      <c r="C6" s="501"/>
    </row>
    <row r="7" spans="1:3" s="6" customFormat="1" ht="15.75" customHeight="1">
      <c r="A7" s="146" t="s">
        <v>142</v>
      </c>
      <c r="B7" s="147" t="s">
        <v>141</v>
      </c>
      <c r="C7" s="137" t="s">
        <v>140</v>
      </c>
    </row>
    <row r="8" spans="1:3" s="6" customFormat="1" ht="15.75" customHeight="1">
      <c r="A8" s="153">
        <v>0.1</v>
      </c>
      <c r="B8" s="149">
        <v>39287</v>
      </c>
      <c r="C8" s="150" t="s">
        <v>295</v>
      </c>
    </row>
    <row r="9" spans="1:3" s="6" customFormat="1" ht="15.75" customHeight="1">
      <c r="A9" s="153"/>
      <c r="B9" s="149"/>
      <c r="C9" s="150" t="s">
        <v>296</v>
      </c>
    </row>
    <row r="10" spans="1:3" s="6" customFormat="1" ht="15.75" customHeight="1">
      <c r="A10" s="153"/>
      <c r="B10" s="156"/>
      <c r="C10" s="150" t="s">
        <v>294</v>
      </c>
    </row>
    <row r="11" spans="1:3" s="6" customFormat="1" ht="15.75" customHeight="1">
      <c r="A11" s="307">
        <v>1</v>
      </c>
      <c r="B11" s="250">
        <v>40321</v>
      </c>
      <c r="C11" s="145" t="s">
        <v>293</v>
      </c>
    </row>
    <row r="12" spans="1:3" s="6" customFormat="1" ht="15.75" customHeight="1">
      <c r="A12" s="153" t="s">
        <v>304</v>
      </c>
      <c r="B12" s="149">
        <v>42542</v>
      </c>
      <c r="C12" s="154" t="s">
        <v>305</v>
      </c>
    </row>
    <row r="13" spans="1:3" s="6" customFormat="1" ht="15.75" customHeight="1">
      <c r="A13" s="148" t="s">
        <v>306</v>
      </c>
      <c r="B13" s="149">
        <v>42596</v>
      </c>
      <c r="C13" s="154" t="s">
        <v>307</v>
      </c>
    </row>
    <row r="14" spans="1:3" s="6" customFormat="1" ht="15.75" customHeight="1">
      <c r="A14" s="151" t="s">
        <v>312</v>
      </c>
      <c r="B14" s="250">
        <v>42886</v>
      </c>
      <c r="C14" s="155" t="s">
        <v>313</v>
      </c>
    </row>
    <row r="15" spans="1:3" s="6" customFormat="1" ht="15.75" customHeight="1">
      <c r="A15" s="148" t="s">
        <v>314</v>
      </c>
      <c r="B15" s="149">
        <v>43688</v>
      </c>
      <c r="C15" s="150" t="s">
        <v>315</v>
      </c>
    </row>
    <row r="16" spans="1:3" s="6" customFormat="1" ht="15.75" customHeight="1">
      <c r="A16" s="148"/>
      <c r="B16" s="156"/>
      <c r="C16" s="150"/>
    </row>
    <row r="17" spans="1:3" s="6" customFormat="1" ht="15.75" customHeight="1">
      <c r="A17" s="151"/>
      <c r="B17" s="152"/>
      <c r="C17" s="145"/>
    </row>
    <row r="18" spans="1:3" s="6" customFormat="1" ht="15.75" customHeight="1">
      <c r="A18" s="151"/>
      <c r="B18" s="152"/>
      <c r="C18" s="145"/>
    </row>
    <row r="19" spans="1:3" s="6" customFormat="1" ht="15.75" customHeight="1">
      <c r="A19" s="148"/>
      <c r="B19" s="156"/>
      <c r="C19" s="150"/>
    </row>
    <row r="20" spans="1:3" s="6" customFormat="1" ht="15.75" customHeight="1">
      <c r="A20" s="151"/>
      <c r="B20" s="152"/>
      <c r="C20" s="145"/>
    </row>
    <row r="21" spans="1:3" s="6" customFormat="1" ht="15.75" customHeight="1">
      <c r="A21" s="151"/>
      <c r="B21" s="152"/>
      <c r="C21" s="145"/>
    </row>
    <row r="22" spans="1:3" s="6" customFormat="1" ht="15.75" customHeight="1">
      <c r="A22" s="148"/>
      <c r="B22" s="156"/>
      <c r="C22" s="150"/>
    </row>
    <row r="23" spans="1:3" s="6" customFormat="1" ht="15.75" customHeight="1">
      <c r="A23" s="148"/>
      <c r="B23" s="156"/>
      <c r="C23" s="150"/>
    </row>
    <row r="24" spans="1:3" s="6" customFormat="1" ht="15.75" customHeight="1">
      <c r="A24" s="497" t="s">
        <v>243</v>
      </c>
      <c r="B24" s="498"/>
      <c r="C24" s="157"/>
    </row>
    <row r="25" spans="1:3" s="6" customFormat="1" ht="15.75" customHeight="1">
      <c r="A25" s="104" t="s">
        <v>142</v>
      </c>
      <c r="B25" s="104" t="s">
        <v>141</v>
      </c>
      <c r="C25" s="157"/>
    </row>
    <row r="26" spans="1:3" s="6" customFormat="1" ht="15.75" customHeight="1">
      <c r="A26" s="105" t="s">
        <v>314</v>
      </c>
      <c r="B26" s="106">
        <f>MAX(B8:B23)</f>
        <v>43688</v>
      </c>
      <c r="C26" s="158"/>
    </row>
    <row r="27" spans="1:3" ht="15.75" customHeight="1">
      <c r="A27" s="141"/>
      <c r="B27" s="159"/>
      <c r="C27" s="142"/>
    </row>
    <row r="28" spans="1:3" ht="15.75">
      <c r="A28" s="116" t="s">
        <v>21</v>
      </c>
      <c r="B28" s="120"/>
      <c r="C28" s="111"/>
    </row>
    <row r="29" spans="1:3" ht="15.75">
      <c r="A29" s="132" t="s">
        <v>297</v>
      </c>
      <c r="B29" s="160"/>
      <c r="C29" s="111"/>
    </row>
    <row r="30" spans="1:3" ht="9.75" customHeight="1">
      <c r="A30" s="113"/>
      <c r="B30" s="4"/>
      <c r="C30" s="121"/>
    </row>
  </sheetData>
  <sheetProtection/>
  <mergeCells count="7">
    <mergeCell ref="A1:C1"/>
    <mergeCell ref="A2:C2"/>
    <mergeCell ref="A24:B24"/>
    <mergeCell ref="A6:C6"/>
    <mergeCell ref="A3:C3"/>
    <mergeCell ref="A4:C4"/>
    <mergeCell ref="A5:B5"/>
  </mergeCells>
  <printOptions/>
  <pageMargins left="0.74" right="0.2755905511811024" top="0.82" bottom="0.47" header="0.46" footer="0"/>
  <pageSetup fitToHeight="1" fitToWidth="1" horizontalDpi="400" verticalDpi="400" orientation="portrait" paperSize="9" scale="81" r:id="rId2"/>
  <headerFooter alignWithMargins="0">
    <oddHeader>&amp;L&amp;"Arial,Fet"Segelflyget&amp;R&amp;D</oddHeader>
    <oddFooter>&amp;L&amp;8&amp;A&amp;C&amp;8&amp;P  ( &amp;N )&amp;R&amp;8&amp;F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Segelflygarna Uppsala Flygklubb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Driftfärdsplan Samburo AVo 68-R100</dc:title>
  <dc:subject/>
  <dc:creator>L-E Hansson</dc:creator>
  <cp:keywords/>
  <dc:description/>
  <cp:lastModifiedBy>Anders</cp:lastModifiedBy>
  <cp:lastPrinted>2010-08-17T08:54:16Z</cp:lastPrinted>
  <dcterms:created xsi:type="dcterms:W3CDTF">2006-05-04T21:29:01Z</dcterms:created>
  <dcterms:modified xsi:type="dcterms:W3CDTF">2019-08-11T07:59:40Z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